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8137F1ED-B284-6C48-BB6E-208E150CF961}"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T7" i="1"/>
  <c r="BT8" i="1"/>
  <c r="BT9" i="1"/>
  <c r="BT10" i="1"/>
  <c r="BT11" i="1"/>
  <c r="BT12" i="1"/>
  <c r="BT13" i="1"/>
  <c r="BT14" i="1"/>
  <c r="BF15" i="1"/>
  <c r="BT15" i="1"/>
  <c r="BF16" i="1"/>
  <c r="BT16" i="1"/>
  <c r="BF17" i="1"/>
  <c r="BT17" i="1"/>
  <c r="BT18" i="1"/>
  <c r="BF19" i="1"/>
  <c r="BT19" i="1"/>
  <c r="BT20" i="1"/>
  <c r="BF21" i="1"/>
  <c r="BT21" i="1"/>
  <c r="BF22" i="1"/>
  <c r="BT22" i="1"/>
  <c r="BF23" i="1"/>
  <c r="BT23" i="1"/>
  <c r="BT24" i="1"/>
  <c r="BF25" i="1"/>
  <c r="BT25" i="1"/>
  <c r="BF26" i="1"/>
  <c r="BT26" i="1"/>
  <c r="BT27" i="1"/>
  <c r="BT28"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T60" i="1"/>
  <c r="BT61" i="1"/>
  <c r="BT62" i="1"/>
  <c r="BF63" i="1"/>
  <c r="BT63" i="1"/>
  <c r="BF64" i="1"/>
  <c r="BT64" i="1"/>
  <c r="BF65" i="1"/>
  <c r="BT65" i="1"/>
  <c r="BF66" i="1"/>
  <c r="BT66" i="1"/>
  <c r="BF67" i="1"/>
  <c r="BT67" i="1"/>
  <c r="BF68" i="1"/>
  <c r="BT68" i="1"/>
  <c r="BT69" i="1"/>
  <c r="BF70" i="1"/>
  <c r="BT70" i="1"/>
  <c r="BT71" i="1"/>
  <c r="BT72" i="1"/>
  <c r="BF73" i="1"/>
  <c r="BT73" i="1"/>
  <c r="BF74" i="1"/>
  <c r="BT74" i="1"/>
  <c r="BT75" i="1"/>
  <c r="BF76" i="1"/>
  <c r="BT76" i="1"/>
  <c r="BF77" i="1"/>
  <c r="BT77" i="1"/>
  <c r="BF78" i="1"/>
  <c r="BT78" i="1"/>
  <c r="BF79" i="1"/>
  <c r="BT79" i="1"/>
  <c r="BT80" i="1"/>
  <c r="BF81" i="1"/>
  <c r="BT81" i="1"/>
  <c r="BT82" i="1"/>
  <c r="BF83" i="1"/>
  <c r="BT83" i="1"/>
  <c r="BF84" i="1"/>
  <c r="BT84" i="1"/>
  <c r="BF85" i="1"/>
  <c r="BT85" i="1"/>
  <c r="BF86" i="1"/>
  <c r="BT86" i="1"/>
  <c r="BT87"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T107"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T131" i="1"/>
  <c r="BF132" i="1"/>
  <c r="BT132" i="1"/>
  <c r="BF133" i="1"/>
  <c r="BT133" i="1"/>
  <c r="BF134" i="1"/>
  <c r="BT134" i="1"/>
  <c r="BF135" i="1"/>
  <c r="BT135" i="1"/>
  <c r="BF136" i="1"/>
  <c r="BT136" i="1"/>
  <c r="BF137" i="1"/>
  <c r="BT137" i="1"/>
  <c r="BF138" i="1"/>
  <c r="BT138"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T183"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T201" i="1"/>
  <c r="BT202" i="1"/>
  <c r="BT203" i="1"/>
  <c r="BF204" i="1"/>
  <c r="BT204" i="1"/>
  <c r="BF205" i="1"/>
  <c r="BT205" i="1"/>
  <c r="BF206" i="1"/>
  <c r="BT206" i="1"/>
  <c r="BT207" i="1"/>
  <c r="BT208" i="1"/>
  <c r="BF209" i="1"/>
  <c r="BT209" i="1"/>
  <c r="BF210" i="1"/>
  <c r="BT210" i="1"/>
  <c r="BF211" i="1"/>
  <c r="BT211" i="1"/>
  <c r="BF212" i="1"/>
  <c r="BT212" i="1"/>
  <c r="BF213" i="1"/>
  <c r="BT213" i="1"/>
  <c r="BF214" i="1"/>
  <c r="BT214" i="1"/>
  <c r="BF215" i="1"/>
  <c r="BT215" i="1"/>
  <c r="BF216" i="1"/>
  <c r="BT216" i="1"/>
  <c r="BT217" i="1"/>
  <c r="BT218" i="1"/>
  <c r="BF219" i="1"/>
  <c r="BT219" i="1"/>
  <c r="BF220" i="1"/>
  <c r="BT220" i="1"/>
  <c r="BT221" i="1"/>
  <c r="BT222" i="1"/>
  <c r="BF223" i="1"/>
  <c r="BT223" i="1"/>
  <c r="BF224" i="1"/>
  <c r="BT224" i="1"/>
  <c r="BF225" i="1"/>
  <c r="BT225" i="1"/>
  <c r="BT226" i="1"/>
  <c r="BF227" i="1"/>
  <c r="BT227"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T246" i="1"/>
  <c r="BT247" i="1"/>
  <c r="BT248" i="1"/>
  <c r="BT249" i="1"/>
  <c r="BT250" i="1"/>
  <c r="BT251" i="1"/>
  <c r="BT252" i="1"/>
  <c r="BT253" i="1"/>
  <c r="BT254"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T272" i="1"/>
  <c r="BT273" i="1"/>
  <c r="BT274" i="1"/>
  <c r="BF275" i="1"/>
  <c r="BT275" i="1"/>
  <c r="BT276" i="1"/>
  <c r="BT277" i="1"/>
  <c r="BF278" i="1"/>
  <c r="BT278" i="1"/>
  <c r="BF279" i="1"/>
  <c r="BT279" i="1"/>
  <c r="BT280" i="1"/>
  <c r="BF281" i="1"/>
  <c r="BT281" i="1"/>
  <c r="BF282" i="1"/>
  <c r="BT282"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T295" i="1"/>
  <c r="BT296" i="1"/>
  <c r="BT297" i="1"/>
  <c r="BF298" i="1"/>
  <c r="BT298" i="1"/>
  <c r="BF299" i="1"/>
  <c r="BT299"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T374" i="1"/>
  <c r="BT375" i="1"/>
  <c r="BT376" i="1"/>
  <c r="BT377" i="1"/>
  <c r="BT378" i="1"/>
  <c r="BT379" i="1"/>
  <c r="BT380" i="1"/>
  <c r="BT381" i="1"/>
  <c r="BF382" i="1"/>
  <c r="BT382" i="1"/>
  <c r="BF383" i="1"/>
  <c r="BT383" i="1"/>
  <c r="BF384" i="1"/>
  <c r="BT384" i="1"/>
  <c r="BF385" i="1"/>
  <c r="BT385" i="1"/>
  <c r="BF386" i="1"/>
  <c r="BT386" i="1"/>
  <c r="BF387" i="1"/>
  <c r="BT387" i="1"/>
  <c r="BF388" i="1"/>
  <c r="BT388" i="1"/>
  <c r="BF389" i="1"/>
  <c r="BT389" i="1"/>
  <c r="BT390" i="1"/>
  <c r="BF391" i="1"/>
  <c r="BT391" i="1"/>
  <c r="BF392" i="1"/>
  <c r="BT392" i="1"/>
  <c r="BF393" i="1"/>
  <c r="BT393" i="1"/>
  <c r="BF394" i="1"/>
  <c r="BT394" i="1"/>
  <c r="BF395" i="1"/>
  <c r="BT395" i="1"/>
  <c r="BF396"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T430" i="1"/>
  <c r="BF431" i="1"/>
  <c r="BT431" i="1"/>
  <c r="BF432" i="1"/>
  <c r="BT432" i="1"/>
  <c r="BF433" i="1"/>
  <c r="BT433" i="1"/>
  <c r="BF434" i="1"/>
  <c r="BT434" i="1"/>
  <c r="BT435" i="1"/>
  <c r="BF436" i="1"/>
  <c r="BT436" i="1"/>
  <c r="BF437" i="1"/>
  <c r="BT437" i="1"/>
  <c r="BF438" i="1"/>
  <c r="BT438" i="1"/>
  <c r="BF439" i="1"/>
  <c r="BT439" i="1"/>
  <c r="BF440" i="1"/>
  <c r="BT440" i="1"/>
  <c r="BF441" i="1"/>
  <c r="BT441" i="1"/>
  <c r="BF442" i="1"/>
  <c r="BT442" i="1"/>
  <c r="BT443" i="1"/>
  <c r="BT444"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T457" i="1"/>
  <c r="BT458" i="1"/>
  <c r="BF459" i="1"/>
  <c r="BT459" i="1"/>
  <c r="BT460" i="1"/>
  <c r="BF461" i="1"/>
  <c r="BT461" i="1"/>
  <c r="BF462" i="1"/>
  <c r="BT462" i="1"/>
  <c r="BF463" i="1"/>
  <c r="BT463" i="1"/>
  <c r="BF464" i="1"/>
  <c r="BT464" i="1"/>
  <c r="BF465" i="1"/>
  <c r="BT465"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T530" i="1"/>
  <c r="BF531" i="1"/>
  <c r="BT531" i="1"/>
  <c r="BF532" i="1"/>
  <c r="BT532" i="1"/>
  <c r="BF533" i="1"/>
  <c r="BT533" i="1"/>
  <c r="BF534" i="1"/>
  <c r="BT534"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T571" i="1"/>
  <c r="BF572" i="1"/>
  <c r="BT572" i="1"/>
  <c r="BF573" i="1"/>
  <c r="BT573" i="1"/>
  <c r="BF574" i="1"/>
  <c r="BT574" i="1"/>
  <c r="BF575" i="1"/>
  <c r="BT575" i="1"/>
  <c r="BT576" i="1"/>
  <c r="BF577" i="1"/>
  <c r="BT577" i="1"/>
  <c r="BF578" i="1"/>
  <c r="BT578" i="1"/>
  <c r="BF579" i="1"/>
  <c r="BT579" i="1"/>
  <c r="BF580" i="1"/>
  <c r="BT580" i="1"/>
  <c r="BF581" i="1"/>
  <c r="BT581" i="1"/>
  <c r="BF582" i="1"/>
  <c r="BT582" i="1"/>
  <c r="BF583" i="1"/>
  <c r="BT583" i="1"/>
  <c r="BF584" i="1"/>
  <c r="BT584" i="1"/>
  <c r="BF585" i="1"/>
  <c r="BT585" i="1"/>
  <c r="BF586" i="1"/>
  <c r="BT586" i="1"/>
  <c r="BF587" i="1"/>
  <c r="BT587" i="1"/>
  <c r="BF588" i="1"/>
  <c r="BT588" i="1"/>
  <c r="BF589" i="1"/>
  <c r="BT589" i="1"/>
  <c r="BT590" i="1"/>
  <c r="BF591" i="1"/>
  <c r="BT591" i="1"/>
  <c r="BF592" i="1"/>
  <c r="BT592" i="1"/>
  <c r="BF593" i="1"/>
  <c r="BT593" i="1"/>
  <c r="BF594" i="1"/>
  <c r="BT594" i="1"/>
  <c r="BF595" i="1"/>
  <c r="BT595" i="1"/>
  <c r="BF596" i="1"/>
  <c r="BT596"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T649" i="1"/>
  <c r="BF650" i="1"/>
  <c r="BT650" i="1"/>
  <c r="BF651" i="1"/>
  <c r="BT651" i="1"/>
  <c r="BF652" i="1"/>
  <c r="BT652" i="1"/>
  <c r="BF653" i="1"/>
  <c r="BT653" i="1"/>
  <c r="BF654" i="1"/>
  <c r="BT654" i="1"/>
  <c r="BF655" i="1"/>
  <c r="BT655" i="1"/>
  <c r="BF656" i="1"/>
  <c r="BT656"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F700" i="1"/>
  <c r="BT700" i="1"/>
  <c r="BF701" i="1"/>
  <c r="BT701" i="1"/>
  <c r="BF702" i="1"/>
  <c r="BT702" i="1"/>
  <c r="BF703" i="1"/>
  <c r="BT703" i="1"/>
  <c r="BF704" i="1"/>
  <c r="BT704" i="1"/>
  <c r="BF705" i="1"/>
  <c r="BT705"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T742" i="1"/>
  <c r="BF743" i="1"/>
  <c r="BT743" i="1"/>
  <c r="BF744" i="1"/>
  <c r="BT744" i="1"/>
  <c r="BF745" i="1"/>
  <c r="BT745" i="1"/>
  <c r="BF746" i="1"/>
  <c r="BT746" i="1"/>
  <c r="BT747"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T764" i="1"/>
  <c r="BT765" i="1"/>
  <c r="BT766" i="1"/>
  <c r="BT767" i="1"/>
  <c r="BT768" i="1"/>
  <c r="BT769" i="1"/>
  <c r="BT770" i="1"/>
  <c r="BT771" i="1"/>
  <c r="BF772" i="1"/>
  <c r="BT772" i="1"/>
  <c r="BF773" i="1"/>
  <c r="BT773" i="1"/>
  <c r="BF774" i="1"/>
  <c r="BT774" i="1"/>
  <c r="BT775" i="1"/>
  <c r="BF776" i="1"/>
  <c r="BT776" i="1"/>
  <c r="BF777" i="1"/>
  <c r="BT777" i="1"/>
  <c r="BF778" i="1"/>
  <c r="BT778" i="1"/>
  <c r="BF779" i="1"/>
  <c r="BT779" i="1"/>
  <c r="BF780" i="1"/>
  <c r="BT780" i="1"/>
  <c r="BF781" i="1"/>
  <c r="BT781" i="1"/>
  <c r="BF782" i="1"/>
  <c r="BT782" i="1"/>
  <c r="BT783" i="1"/>
  <c r="BF784" i="1"/>
  <c r="BT784" i="1"/>
  <c r="BF785" i="1"/>
  <c r="BT785" i="1"/>
  <c r="BF786" i="1"/>
  <c r="BT786" i="1"/>
  <c r="BF787" i="1"/>
  <c r="BT787" i="1"/>
  <c r="BF788" i="1"/>
  <c r="BT788" i="1"/>
  <c r="BF789" i="1"/>
  <c r="BT789" i="1"/>
  <c r="BF790" i="1"/>
  <c r="BT790" i="1"/>
  <c r="BF791" i="1"/>
  <c r="BT791" i="1"/>
  <c r="BF792" i="1"/>
  <c r="BT792"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T895" i="1"/>
  <c r="BF896" i="1"/>
  <c r="BT896" i="1"/>
  <c r="BF897" i="1"/>
  <c r="BT897" i="1"/>
  <c r="BF898" i="1"/>
  <c r="BT898" i="1"/>
  <c r="BF899" i="1"/>
  <c r="BT899" i="1"/>
  <c r="BF900" i="1"/>
  <c r="BT900" i="1"/>
  <c r="BF901" i="1"/>
  <c r="BT901" i="1"/>
  <c r="BF902" i="1"/>
  <c r="BT902" i="1"/>
  <c r="BF903" i="1"/>
  <c r="BT903" i="1"/>
  <c r="BF904" i="1"/>
  <c r="BT904"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T940" i="1"/>
  <c r="BT941" i="1"/>
  <c r="BT942" i="1"/>
  <c r="BT943" i="1"/>
  <c r="BT944" i="1"/>
  <c r="BT945" i="1"/>
  <c r="BT946" i="1"/>
  <c r="BT947" i="1"/>
  <c r="BT948" i="1"/>
  <c r="BT949" i="1"/>
  <c r="BT950" i="1"/>
  <c r="BT951" i="1"/>
  <c r="BF952" i="1"/>
  <c r="BT952" i="1"/>
  <c r="BF953" i="1"/>
  <c r="BT953" i="1"/>
  <c r="BF954" i="1"/>
  <c r="BT954" i="1"/>
  <c r="BF955" i="1"/>
  <c r="BT955" i="1"/>
  <c r="BT956" i="1"/>
  <c r="BT957" i="1"/>
  <c r="BF958" i="1"/>
  <c r="BT958" i="1"/>
  <c r="BF959" i="1"/>
  <c r="BT959" i="1"/>
  <c r="BF960" i="1"/>
  <c r="BT960" i="1"/>
  <c r="BF961" i="1"/>
  <c r="BT961" i="1"/>
  <c r="BF962" i="1"/>
  <c r="BT962" i="1"/>
  <c r="BT963" i="1"/>
  <c r="BT964" i="1"/>
  <c r="BF965" i="1"/>
  <c r="BT965" i="1"/>
  <c r="BF966" i="1"/>
  <c r="BT966"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T993" i="1"/>
  <c r="BF994" i="1"/>
  <c r="BT994" i="1"/>
  <c r="BT995" i="1"/>
  <c r="BT996" i="1"/>
  <c r="BT997" i="1"/>
  <c r="BT998" i="1"/>
  <c r="BT999" i="1"/>
  <c r="BT1000" i="1"/>
  <c r="BF1001" i="1"/>
  <c r="BT1001" i="1"/>
</calcChain>
</file>

<file path=xl/sharedStrings.xml><?xml version="1.0" encoding="utf-8"?>
<sst xmlns="http://schemas.openxmlformats.org/spreadsheetml/2006/main" count="59748" uniqueCount="14802">
  <si>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</si>
  <si>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</si>
  <si>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</si>
  <si>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</si>
  <si>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</si>
  <si>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</si>
  <si>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</si>
  <si>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</si>
  <si>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</si>
  <si>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</si>
  <si>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</si>
  <si>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</si>
  <si>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</si>
  <si>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</si>
  <si>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</si>
  <si>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</si>
  <si>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</si>
  <si>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</si>
  <si>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</si>
  <si>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</si>
  <si>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</si>
  <si>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</si>
  <si>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</si>
  <si>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</si>
  <si>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</si>
  <si>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</si>
  <si>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</si>
  <si>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</si>
  <si>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</si>
  <si>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</si>
  <si>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</si>
  <si>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</si>
  <si>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</si>
  <si>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</si>
  <si>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</si>
  <si>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</si>
  <si>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</si>
  <si>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</si>
  <si>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</si>
  <si>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</si>
  <si>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</si>
  <si>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</si>
  <si>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</si>
  <si>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</si>
  <si>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</si>
  <si>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</si>
  <si>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</si>
  <si>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</si>
  <si>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</si>
  <si>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</si>
  <si>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</si>
  <si>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</si>
  <si>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</si>
  <si>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</si>
  <si>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</si>
  <si>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</si>
  <si>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</si>
  <si>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</si>
  <si>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</si>
  <si>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</si>
  <si>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</si>
  <si>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</si>
  <si>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</si>
  <si>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</si>
  <si>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</si>
  <si>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</si>
  <si>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</si>
  <si>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</si>
  <si>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</si>
  <si>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</si>
  <si>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</si>
  <si>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</si>
  <si>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</si>
  <si>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Daunt, F; Afanasyev, V; Silk, JRD; Wanless, S</t>
  </si>
  <si>
    <t/>
  </si>
  <si>
    <t>Extrinsic and intrinsic determinants of winter foraging and breeding phenology in a temperate seabird</t>
  </si>
  <si>
    <t>BEHAVIORAL ECOLOGY AND SOCIOBIOLOGY</t>
  </si>
  <si>
    <t>English</t>
  </si>
  <si>
    <t>Article</t>
  </si>
  <si>
    <t>behavioural plasticity; environmental effects; European shag; individual state; pre-breeding</t>
  </si>
  <si>
    <t>SANDEEL AMMODYTES-MARINUS; PHALACROCORAX-ARISTOTELIS; SHAG; BEHAVIOR; PATTERNS; SURVIVAL; SUCCESS; BIRDS</t>
  </si>
  <si>
    <t>In temperate regions, winter presents animals with a number of challenges including depressed food abundance, increased daily energy requirements, higher frequency of extreme weather events and shortened day length. Overcoming these constraints is critical for overwintering survival and scheduling of future breeding of long-lived species and is likely to be state dependent, associated with intrinsic abilities such as food acquisition rates. We examined the relationship between environmental and intrinsic factors on overwintering foraging and subsequent breeding phenology of the European shag Phalacrocorax aristotelis, a diurnal marine predator. We tested a range of hypotheses relating to overwintering foraging time and location. We found that individuals greatly increased their foraging time in winter to a peak of more than 90% of available daylight at the winter solstice. The seasonal patterns of foraging time appear to be driven by a combination of light levels and weather conditions and may be linked to the availability of the shag's principal prey, the lesser sandeel Ammodytes marinus. There was no evidence that shags dispersed south in winter to increase potential foraging time. Foraging time decreased after the winter solstice and, crucially, was correlated with subsequent breeding phenology, such that individuals that spent less time foraging in February bred earlier. The relationship was much stronger in females than males, in line with their more direct control of timing of breeding. Our results demonstrate that pre-breeding intrinsic foraging ability is critical in determining breeding phenology.</t>
  </si>
  <si>
    <t>NERC, Ctr Ecol &amp; Hydrol, Banchory AB31 4BW, Aberdeen, Scotland; British Antarctic Survey, NERC, Cambridge CB3 0ET, England</t>
  </si>
  <si>
    <t>UK Research &amp; Innovation (UKRI); Natural Environment Research Council (NERC); UK Centre for Ecology &amp; Hydrology (UKCEH); UK Research &amp; Innovation (UKRI); Natural Environment Research Council (NERC); NERC British Antarctic Survey</t>
  </si>
  <si>
    <t>NERC, Ctr Ecol &amp; Hydrol, Hill Brathens, Banchory AB31 4BW, Aberdeen, Scotland.</t>
  </si>
  <si>
    <t>frada@ceh.ac.uk</t>
  </si>
  <si>
    <t>Wanless, Sarah/K-2338-2012; Daunt, Francis/K-6688-2012</t>
  </si>
  <si>
    <t>Wanless, Sarah/0000-0002-2788-4606; Daunt, Francis/0000-0003-4638-3388</t>
  </si>
  <si>
    <t>SPRINGER</t>
  </si>
  <si>
    <t>NEW YORK</t>
  </si>
  <si>
    <t>ONE NEW YORK PLAZA, SUITE 4600, NEW YORK, NY, UNITED STATES</t>
  </si>
  <si>
    <t>0340-5443</t>
  </si>
  <si>
    <t>1432-0762</t>
  </si>
  <si>
    <t>BEHAV ECOL SOCIOBIOL</t>
  </si>
  <si>
    <t>Behav. Ecol. Sociobiol.</t>
  </si>
  <si>
    <t>JAN</t>
  </si>
  <si>
    <t>10.1007/s00265-005-0061-4</t>
  </si>
  <si>
    <t>Behavioral Sciences; Ecology; Zoology</t>
  </si>
  <si>
    <t>Science Citation Index Expanded (SCI-EXPANDED)</t>
  </si>
  <si>
    <t>Behavioral Sciences; Environmental Sciences &amp; Ecology; Zoology</t>
  </si>
  <si>
    <t>002GW</t>
  </si>
  <si>
    <t>2024-04-21</t>
  </si>
  <si>
    <t>WOS:000234600500006</t>
  </si>
  <si>
    <t>Zhang, JP; Chen, QX; Wang, Q; Xie, JJ</t>
  </si>
  <si>
    <t>Purification and some properties of β-N-acetyl-D-glucosaminidase from viscera of green crab (Scylla serrata)</t>
  </si>
  <si>
    <t>BIOCHEMISTRY-MOSCOW</t>
  </si>
  <si>
    <t>enzymatic properties; beta-N-acetyl-D-glucosaminidase; purification; Scylla serrata</t>
  </si>
  <si>
    <t>PENAEUS-JAPONICUS; ANTARCTIC KRILL; CHITINASE; PRAWN; HEPATOPANCREAS; CHITOBIASE; CLONING; ENZYME</t>
  </si>
  <si>
    <t>beta-N-Acetyl -D-glucosaminidase was purified from viscera of green crab (Scylla serrata) by extraction with 0.01 M Tris-HCl buffer (pH 7.5) containing 0.2 M NaCl, ammonium sulfate fractionation, and then chromatography on Sephadex G-100 and DEAE-cellulose (DE-32). The purified enzyme showed a single band on polyacrylamide gel electrophoresis, and the specific activity was determined to be 7990 U/mg. The molecular weight of the whole enzyme was determined to be 132.0 kD, and the enzyme is composed of two identical subunits with molecular mass of 65.8 kD. The optimum pH and optimum temperature of the enzyme for the hydrolysis of p-nitrophenyl-N-acetyl-beta-D-glucosaminide (pNP-NAG) were found to be at pH 5.6 and at 50 degrees C, respectively The study of its stability showed that the enzyme is stable in the pH range from 4.6 to 8.6 and at temperatures below 45 degrees C. The kinetic behavior of the enzyme in the hydrolysis of pNP-NAG followed Michaelis-Menten kinetics with K-m of 0.424 +/- 0.012 mM and V-max of 17.65 +/- 0.32 mu mol/min at pH 5.8 and 37 degrees C, and the activation energy was determined to be 61.32 kJ/mol. The effects of some metal ions on the enzyme were surveyed, and the results show that Na+ and K+ have no effects on the enzyme activity; Mg2+ and Ca2+ slightly activate the enzyme, while Ba2+, Zn2+, Mn2+, Hg2+, Pb2+, Cu2+, and Al3+ inhibit the enzyme to different extents.</t>
  </si>
  <si>
    <t>Xiamen Univ, Dept Biochem &amp; Biotechnol, Sch Life Sci, Key Lab Minist Educ Cell Biol &amp; Tumor Cell Engn, Xiamen 361005, Peoples R China; Foshan Sci &amp; Technol Coll, Sch Life Sci, Dept Anim Sci, Foshan 528231, Peoples R China</t>
  </si>
  <si>
    <t>Xiamen University; Foshan University</t>
  </si>
  <si>
    <t>Xiamen Univ, Dept Biochem &amp; Biotechnol, Sch Life Sci, Key Lab Minist Educ Cell Biol &amp; Tumor Cell Engn, Xiamen 361005, Peoples R China.</t>
  </si>
  <si>
    <t>chenqx@xmu.edu.cn</t>
  </si>
  <si>
    <t>Chen, QX/G-4600-2010; Wang, Q/G-4594-2010</t>
  </si>
  <si>
    <t>Wang, Q/0000-0003-4815-3260</t>
  </si>
  <si>
    <t>MAIK NAUKA/INTERPERIODICA/SPRINGER</t>
  </si>
  <si>
    <t>233 SPRING ST, NEW YORK, NY 10013-1578 USA</t>
  </si>
  <si>
    <t>0006-2979</t>
  </si>
  <si>
    <t>1608-3040</t>
  </si>
  <si>
    <t>BIOCHEMISTRY-MOSCOW+</t>
  </si>
  <si>
    <t>Biochem.-Moscow</t>
  </si>
  <si>
    <t>S55</t>
  </si>
  <si>
    <t>S59</t>
  </si>
  <si>
    <t>10.1134/S0006297906130098</t>
  </si>
  <si>
    <t>Biochemistry &amp; Molecular Biology</t>
  </si>
  <si>
    <t>024QY</t>
  </si>
  <si>
    <t>WOS:000236212300009</t>
  </si>
  <si>
    <t>Moreno, CA; Arata, JA; Rubilar, P; Hucke-Gaete, R; Robertson, G</t>
  </si>
  <si>
    <t>Artisanal longline fisheries in Southern Chile: Lessons to be learned to avoid incidental seabird mortality</t>
  </si>
  <si>
    <t>BIOLOGICAL CONSERVATION</t>
  </si>
  <si>
    <t>domestic fisheries; seabird by-catch; sink rate; South America</t>
  </si>
  <si>
    <t>ALBATROSS MORTALITY; WATERS</t>
  </si>
  <si>
    <t>Industrial longline fisheries are considered worldwide as the main threat to albatross and petrel populations, particularly at open oceans. However, inside countries' EEZ artisanal fleets account for a significant fishing effort and eventually, could represent a major threat to these species than industrial fishing. Here we provide the first assessment of incidental mortality in two artisanal fleets in southern Chile, targeting Austral hake and Patagonian toothfish, which accounts for 0.9 and 20 millions hooks/year, respectively Fishing techniques of these fleets have many particularities that made their operation markedly different from the more known industrial longliners, therefore their characteristics and sink rates are thoroughly described. By-catch rates (BPUE) estimated were low: 0.030 and 0.047 birds per 1000 hooks in hake and toothfish fisheries, respectively, despite that no mitigation measured was in use. These low results may reflect the fast sink rate profile of the particular longline type used by these fisheries, although the low abundance of species present may influence too. Both fleets use a modified longline having secondary hook-lines placed vertical along the mother line, each having a weight that increases significantly its sink rate, reaching 0.33 and 0.69-0.22 m s(-1) in the hake and toothfish longlines, respectively. Considering the big fishing effort deployed by the artisanal toothfish fleet, recommendations on mitigation measures are given for each fishery to further improve their fishing techniques. (c) 2005 Elsevier Ltd. All rights reserved.</t>
  </si>
  <si>
    <t>Univ Austral Chile, Inst Ecol &amp; Evoluc, Valdivia, Chile; Univ Austral Chile, CEPES, Valparaiso, Chile; Australian Antarctic Div, Kingston, Tas 7050, Australia</t>
  </si>
  <si>
    <t>Universidad Austral de Chile; Universidad Austral de Chile; Australian Antarctic Division</t>
  </si>
  <si>
    <t>Moreno, CA (corresponding author), Univ Massachusetts, Nat Resources Conservat Dept, 160 Holdsworth Way, Amherst, MA 01003 USA.</t>
  </si>
  <si>
    <t>cmoreno@uach.cl; jarata@nre.umass.edu</t>
  </si>
  <si>
    <t>Arata, Javier/U-9754-2017; Arata, Javier A./ABH-9557-2020</t>
  </si>
  <si>
    <t>Arata, Javier/0000-0001-7320-0511; Hucke-Gaete, Rodrigo/0000-0003-3515-9145</t>
  </si>
  <si>
    <t>ELSEVIER SCI LTD</t>
  </si>
  <si>
    <t>OXFORD</t>
  </si>
  <si>
    <t>THE BOULEVARD, LANGFORD LANE, KIDLINGTON, OXFORD OX5 1GB, OXON, ENGLAND</t>
  </si>
  <si>
    <t>0006-3207</t>
  </si>
  <si>
    <t>BIOL CONSERV</t>
  </si>
  <si>
    <t>Biol. Conserv.</t>
  </si>
  <si>
    <t>10.1016/j.biocon.2005.07.011</t>
  </si>
  <si>
    <t>Biodiversity Conservation; Ecology; Environmental Sciences</t>
  </si>
  <si>
    <t>Biodiversity &amp; Conservation; Environmental Sciences &amp; Ecology</t>
  </si>
  <si>
    <t>989WJ</t>
  </si>
  <si>
    <t>WOS:000233704400003</t>
  </si>
  <si>
    <t>Zheng, Z; Jiang, YH; Miao, JL; Wang, QF; Zhang, BT; Li, GY</t>
  </si>
  <si>
    <t>Purification and characterization of a cold-active iron superoxide dismutase from a psychrophilic bacterium, Marinomonas sp NJ522</t>
  </si>
  <si>
    <t>BIOTECHNOLOGY LETTERS</t>
  </si>
  <si>
    <t>Antarctic; cold-active; Marinomonas; psychrophilic bacteria; superoxide dismutase</t>
  </si>
  <si>
    <t>PROTEINS</t>
  </si>
  <si>
    <t>Marinomonas sp. NJ522, isolated from Antarctic sea ice, produces a cold-active iron superoxide dismutase (SOD; EC 1.15.1.1). The purified SOD was dimeric and had an approx. Mr of 48 kDa. Highest activity was detected from pH 8 to 10 and at 40 degrees C (assayed over 10 min). Activity at 0 degrees C was nearly 35% of the maximum activity.</t>
  </si>
  <si>
    <t>State Ocean Adm, Inst Oceanorg 1, Key Lab Marine Bioact Subst, Qingdao 266061, Peoples R China; Ocean Univ China, Coll Life Sci, Qingdao 266003, Peoples R China; Huangdao Entry Exit Inspect &amp; Quarantine, Qingdao 266555, Peoples R China</t>
  </si>
  <si>
    <t>Ocean University of China</t>
  </si>
  <si>
    <t>State Ocean Adm, Inst Oceanorg 1, Key Lab Marine Bioact Subst, Qingdao 266061, Peoples R China.</t>
  </si>
  <si>
    <t>miaojinlai@163.com</t>
  </si>
  <si>
    <t>wang, quan fu/K-9703-2018</t>
  </si>
  <si>
    <t>wang, quan fu/0000-0002-3885-5464</t>
  </si>
  <si>
    <t>DORDRECHT</t>
  </si>
  <si>
    <t>VAN GODEWIJCKSTRAAT 30, 3311 GZ DORDRECHT, NETHERLANDS</t>
  </si>
  <si>
    <t>0141-5492</t>
  </si>
  <si>
    <t>1573-6776</t>
  </si>
  <si>
    <t>BIOTECHNOL LETT</t>
  </si>
  <si>
    <t>Biotechnol. Lett.</t>
  </si>
  <si>
    <t>10.1007/s10529-005-4951-3</t>
  </si>
  <si>
    <t>Biotechnology &amp; Applied Microbiology</t>
  </si>
  <si>
    <t>995ZJ</t>
  </si>
  <si>
    <t>WOS:000234143900004</t>
  </si>
  <si>
    <t>Honda, K; Aoki, M; Fujise, Y</t>
  </si>
  <si>
    <t>Ecochemical approach using mercury accumulation of Antarctic minke whale, Balaenoptera bonaerensis, as tracer of historical change of Antarctic marine ecosystem during 1980-1999</t>
  </si>
  <si>
    <t>BULLETIN OF ENVIRONMENTAL CONTAMINATION AND TOXICOLOGY</t>
  </si>
  <si>
    <t>STRIPED DOLPHIN</t>
  </si>
  <si>
    <t>Ehime Univ, Dept Environm Sci &amp; Ind, Matsuyama, Ehime 7908566, Japan; Inst Cetacean Res, Thuo Ku, Tokyo 1040055, Japan</t>
  </si>
  <si>
    <t>Ehime University</t>
  </si>
  <si>
    <t>Ehime Univ, Dept Environm Sci &amp; Ind, 3-5-7 Tarumi, Matsuyama, Ehime 7908566, Japan.</t>
  </si>
  <si>
    <t>0007-4861</t>
  </si>
  <si>
    <t>1432-0800</t>
  </si>
  <si>
    <t>B ENVIRON CONTAM TOX</t>
  </si>
  <si>
    <t>Bull. Environ. Contam. Toxicol.</t>
  </si>
  <si>
    <t>10.1007/s00128-005-0900-z</t>
  </si>
  <si>
    <t>Environmental Sciences; Toxicology</t>
  </si>
  <si>
    <t>Environmental Sciences &amp; Ecology; Toxicology</t>
  </si>
  <si>
    <t>998TZ</t>
  </si>
  <si>
    <t>WOS:000234344100019</t>
  </si>
  <si>
    <t>Fonseca, G; Decraemer, W; Vanreusel, A</t>
  </si>
  <si>
    <t>Fonseca, Gustavo; Decraemer, Wilfrida; Vanreusel, Ann</t>
  </si>
  <si>
    <t>Taxonomy and species distribution of the genus Manganonema Bussau, 1993 (Nematoda: Monhysterida)</t>
  </si>
  <si>
    <t>CAHIERS DE BIOLOGIE MARINE</t>
  </si>
  <si>
    <t>biogeography; deep sea; species turnover; pictorial identification key; Xyalidae</t>
  </si>
  <si>
    <t>DEEP-SEA NEMATODES; CONTINENTAL-SLOPE; SOUTH-PACIFIC; INDIAN-OCEAN; NE ATLANTIC; WEDDELL SEA; DIVERSITY; BIODIVERSITY; COMMUNITIES; ASSEMBLAGES</t>
  </si>
  <si>
    <t>Different deep-sea sites are frequently characterized by a high number of species belonging to the same genus. In addition, some deep-sea genera (e.g. Acantholaimus, Monhystera, Halalaimus) seem to be dominant and present worldwide. The genus Manganonema is present in all oceans in low to medium densities (&lt; 2%) and, apparently, restricted to the deep sea (600 m and deeper). The present study deals with a revision of the genus Manganonema based upon known species and nine new species, where only 5 were named due to the lack of males (M. media sp. nov., M. pitilica sp. nov., M. robustus sp. nov., M. antarctica sp. nov., M. bussauensis sp. nov.). For the species identification, important characters are summarized in a pictorial key. The material studied was collected from six different sites: two in the North Atlantic (Europe), two in the Southern Ocean (Antarctic), one in the South-western Atlantic (Brazil), and one in Western Indian Ocean (Kenya). The species distribution suggests a high turnover of species between sites. Only one Manganonema species is recorded from two different sites in the Atlantic Ocean. These results suggest a high degree of endemism of species within the genus.</t>
  </si>
  <si>
    <t>Univ Ghent, Dept Biol, Marine Biol Sect, B-9000 Ghent, Belgium; Koninklijk Belgisch Inst Natuurwetenschappen, B-1000 Brussels, Belgium; Univ Ghent, Dept Biol, Nematol Sect, B-9000 Ghent, Belgium</t>
  </si>
  <si>
    <t>Ghent University; Ghent University</t>
  </si>
  <si>
    <t>Fonseca, G (corresponding author), Alfred Wegener Inst Polar &amp; Marine Res, Deep Sea Grp, Handelshafen 12, D-27570 Bremerhaven, Germany.</t>
  </si>
  <si>
    <t>gfonseca@awi-bremerhaven.de</t>
  </si>
  <si>
    <t>Fonseca, Gustavo/B-7673-2011; Decraemer, Wilfrida/AAD-2639-2020</t>
  </si>
  <si>
    <t>Fonseca, Gustavo/0000-0001-8625-4279;</t>
  </si>
  <si>
    <t>ROSCOFF</t>
  </si>
  <si>
    <t>STATION BIOLOGIQUE PLACE GEORGES TEISSIER, 29680 ROSCOFF, FRANCE</t>
  </si>
  <si>
    <t>0007-9723</t>
  </si>
  <si>
    <t>CAH BIOL MAR</t>
  </si>
  <si>
    <t>Cah. Biol. Mar.</t>
  </si>
  <si>
    <t>Marine &amp; Freshwater Biology</t>
  </si>
  <si>
    <t>063XX</t>
  </si>
  <si>
    <t>WOS:000239054300006</t>
  </si>
  <si>
    <t>Fenaughty, JM</t>
  </si>
  <si>
    <t>Fenaughty, J. M.</t>
  </si>
  <si>
    <t>Geographical differences in the condition, reproductive development, sex ratio and length distribution of Antarctic toothfish (Dissostichus mawsoni) from the Ross Sea, Antarctica (CCAMLR Subarea 88.1)</t>
  </si>
  <si>
    <t>CCAMLR SCIENCE</t>
  </si>
  <si>
    <t>Antarctic toothfish; Dissostichus mawsoni; reproductive development; sex ratio; coefficient of condition; length distribution; length-weight relationship; Ross Sea; CCAMLR</t>
  </si>
  <si>
    <t>GADUS-MORHUA; ATLANTIC COD</t>
  </si>
  <si>
    <t>A number of morphological and reproductive measurements made seasonally on Antarctic toothfish (Dissostichus mawsoni) from mid-December to early April during the 2000/01 to 2004/05 fishing seasons on board the autoliner San Aotea II have been analysed. Results of this study indicate measurable differences in a number of indices from toothfish found on the Ross shelf proper, as distinct from those sampled on the more isolated seamounts and features to the north. These are modal length distribution, sex ratio, fish body condition factor and reproductive development. Dissostichus mawsoni samples from the northern part of the Ross Sea showed that this component of the population had a unimodal length distribution at a consistent peak over all sampling seasons in comparison with the southern group (in which the distribution was multimodal), showed a consistent and significantly higher ratio of males to females, poorer condition and more advanced reproductive development.</t>
  </si>
  <si>
    <t>Silvifish Resources Ltd, Wellington, New Zealand</t>
  </si>
  <si>
    <t>Fenaughty, JM (corresponding author), Silvifish Resources Ltd, POB 17-058, Wellington, New Zealand.</t>
  </si>
  <si>
    <t>jmfenaughty@clear.net.nz</t>
  </si>
  <si>
    <t>C C A M L R TI</t>
  </si>
  <si>
    <t>NORTH HOBART</t>
  </si>
  <si>
    <t>PO BOX 213, NORTH HOBART, TAS 7002, AUSTRALIA</t>
  </si>
  <si>
    <t>1023-4063</t>
  </si>
  <si>
    <t>CCAMLR SCI</t>
  </si>
  <si>
    <t>CCAMLR Sci.</t>
  </si>
  <si>
    <t>Fisheries</t>
  </si>
  <si>
    <t>109VB</t>
  </si>
  <si>
    <t>WOS:000242336000003</t>
  </si>
  <si>
    <t>Heywood, BG; Brierley, AS; Gull, SF</t>
  </si>
  <si>
    <t>Heywood, B. G.; Brierley, A. S.; Gull, S. F.</t>
  </si>
  <si>
    <t>A quantified Bayesian Maximum Entropy estimate of Antarctic krill abundance across the Scotia Sea and in small-scale management units from the CCAMLR-2000 survey</t>
  </si>
  <si>
    <t>Maximum Entropy; Euphausia superba; acoustic; Bayes; SSMU; CCAMLR</t>
  </si>
  <si>
    <t>ACOUSTIC SURVEYS; SOUTH; RECONSTRUCTION; VARIABILITY; INFERENCE; DENSITY</t>
  </si>
  <si>
    <t>A probabilistic Bayesian Maximum Entropy (MaxEnt) technique was used to estimate the abundance of Antarctic krill (Euphausia superba) across the Scotia Sea using data from the CCAMLR 2000 Krill Synoptic Survey of Area 48 (CCAMLR-2000 Survey) and to map the density distribution of krill across the survey area. Density values for the unsurveyed off-transect portions of the survey area were inferred, and thus values for total biomass across the survey area, and within individual small-scale management units (SSMUs), were estimated. Abundance in some of the individual SSMUs had not previously been estimated due to the sparseness of data in these regions. The MaxEnt formalism allows an objective choice of the parameters of the estimation method, and hence an objective choice of the most probable reconstruction of krill distribution, given the data. The Bayesian framework also allows intrinsic calculation of the error in the density estimates. The total biomass inferred for the survey area was 208 million tonnes, with a standard deviation of 10 million tonnes. The MaxEnt method provides new insights into the extremely sparse survey data (only 0.6% of the survey area was directly acoustically sampled), and enhances the conservation and management potential of the CCAMLR-2000 Survey.</t>
  </si>
  <si>
    <t>Univ St Andrews, Pelag Ecol Res Grp, Gatty Marine Lab, Gatty Marine Lab, St Andrews KY16 8LB, Fife, Scotland; Univ Cambridge, Cavendish Lab, Astrophys Grp, Cambridge CB3 0HE, England</t>
  </si>
  <si>
    <t>University of St Andrews; University of Cambridge</t>
  </si>
  <si>
    <t>Heywood, BG (corresponding author), Univ St Andrews, Pelag Ecol Res Grp, Gatty Marine Lab, Gatty Marine Lab, St Andrews KY16 8LB, Fife, Scotland.</t>
  </si>
  <si>
    <t>bgh@st-and.ac.uk</t>
  </si>
  <si>
    <t>Brierley, Andrew/G-8019-2011</t>
  </si>
  <si>
    <t>Brierley, Andrew/0000-0002-6438-6892</t>
  </si>
  <si>
    <t>WOS:000242336000006</t>
  </si>
  <si>
    <t>Kawaguchi, S; Nicol, S; Taki, K; Naganobu, M</t>
  </si>
  <si>
    <t>Kawaguchi, S.; Nicol, S.; Taki, K.; Naganobu, M.</t>
  </si>
  <si>
    <t>Fishing ground selection in the Antarctic krill fishery: Trends in patterns across years, seasons and nations</t>
  </si>
  <si>
    <t>small-scale management units; SSMU; CPUE; fine-scale data; CCAMLR</t>
  </si>
  <si>
    <t>SOUTH SHETLAND ISLANDS; EUPHAUSIA-SUPERBA; ATLANTIC SECTOR; BIOMASS DENSITY; SCOTIA SEA; VICINITY; VARIABILITY; OCEAN</t>
  </si>
  <si>
    <t>Patterns of fishing ground selection were characterised using STATLANT and CCAMLR fine-scale data. Among the 15 small-scale management units (SSMUs) within Subareas 48.1, 48.2 and 48.3, including the pelagic SSMUs, only one-third were identified as major contributors to the total catch. A recent shift in operational timing towards later months within fishing seasons was observed in Subarea 48.1 (December-February to March-May). However, operational timing has remained relatively constant in Subareas 48.2 (March-May) and 48.3 (June-August). In 25 years of krill operations in Area 48, patterns of SSMU usage have changed. Three different patterns of seasonal SSMU selection were characterised using a cluster analysis. Frequently used SSMUs did not always match the areas of high krill density observed by scientific surveys, and possible reasons for this mismatch are further discussed. A revised format for data submission is suggested in order to accommodate possible developments in fishing techniques.</t>
  </si>
  <si>
    <t>Australian Govt Antarctic Div, Dept Environm &amp; Heritage, Kingston, Tas 7050, Australia; Natl Res Inst Far Seas Fisheries, Kanazawa Ku, Yokohama, Kanagawa 2368648, Japan</t>
  </si>
  <si>
    <t>Australian Antarctic Division; Japan Fisheries Research &amp; Education Agency (FRA)</t>
  </si>
  <si>
    <t>Kawaguchi, S (corresponding author), Australian Govt Antarctic Div, Dept Environm &amp; Heritage, 203 Channel Highway, Kingston, Tas 7050, Australia.</t>
  </si>
  <si>
    <t>so.kawaguchi@aad.gov.au</t>
  </si>
  <si>
    <t>Kawaguchi, So/N-1795-2017</t>
  </si>
  <si>
    <t>Kawaguchi, So/0000-0002-2042-5095</t>
  </si>
  <si>
    <t>WOS:000242336000007</t>
  </si>
  <si>
    <t>Crawford, RJM; Dyer, BM; Crawford, RJM; Cooper, J; Underhill, LG</t>
  </si>
  <si>
    <t>Crawford, R. J. M.; Dyer, B. M.; Crawford, R. J. M.; Cooper, J.; Underhill, L. G.</t>
  </si>
  <si>
    <t>Breeding numbers and success of Eudyptes penguins at Marion Island, and the influence of mass and time of arrival of adults</t>
  </si>
  <si>
    <t>arrival; breeding proportion; breeding success; Eudyptes; macaroni penguin; mass; rockhopper penguin; CCAMLR</t>
  </si>
  <si>
    <t>ROCKHOPPER PENGUINS; MACARONI PENGUINS; CHRYSOCOME PENGUINS; FORAGING RANGE; POPULATION; CHRYSOLOPHUS; GENTOO; ECOLOGY; CONSERVATION; SCHLEGELI</t>
  </si>
  <si>
    <t>At sub-Antarctic Marion Island, there was substantial correlation in the numbers of adults breeding at study colonies of macaroni penguins (Eudyptes chrysolophus) over 26 years, as there was also for eastern rockhopper (E. chrysocome filholi) over 22 years, suggesting that overwintering conditions may influence the proportions of birds breeding. For both species the time of arrival of females for breeding, and for rockhopper penguins the mass of females on arrival, was significantly related to breeding success. Therefore, overwintering conditions may also affect breeding success. Trends in breeding success between study colonies were more strongly correlated for macaroni penguins than for rockhopper penguins. Macaroni penguins have a greater foraging range than rockhopper penguins when breeding, and may be more influenced at this stage by wider-scale environmental phenomena. For macaroni penguins, breeding success was significantly correlated with mass of chicks at fledging. For both species, mass on arrival of males was significantly correlated with that of females. Although both species had low masses on arrival after the El Nino Southern Oscillation event of 1997/98, there was no significant correlation in mass on arrival between the two species. It is likely that at Marion Island their overwintering grounds are different.</t>
  </si>
  <si>
    <t>Dept Environm Affairs &amp; Tourism, ZA-8012 Cape Town, South Africa; Univ Cape Town, Dept Stat Sci, Avian Demog Unit, ZA-7701 Rondebosch, South Africa</t>
  </si>
  <si>
    <t>University of Cape Town</t>
  </si>
  <si>
    <t>Crawford, RJM (corresponding author), Dept Environm Affairs &amp; Tourism, Private Bag X2, ZA-8012 Cape Town, South Africa.</t>
  </si>
  <si>
    <t>crawford@deat.gov.za</t>
  </si>
  <si>
    <t>Bond, Alexander L/A-3786-2010</t>
  </si>
  <si>
    <t>Underhill, Les/0000-0002-8758-1527</t>
  </si>
  <si>
    <t>WOS:000242336000009</t>
  </si>
  <si>
    <t>Emmerson, LM; Southwell, C; Clarke, J</t>
  </si>
  <si>
    <t>Emmerson, L. M.; Southwell, C.; Clarke, J.</t>
  </si>
  <si>
    <t>Modelling variability and estimating power to detect change in Adelie penguin fledgling weights</t>
  </si>
  <si>
    <t>Adelie penguin; fledgling weight; power analysis; interannual variability; Mawson; CEMP; CCAMLR</t>
  </si>
  <si>
    <t>FOOD AVAILABILITY; SEABIRD POPULATIONS; FLEDGING WEIGHT</t>
  </si>
  <si>
    <t>Statistical models of variation in Adelie penguin fledgling weight data were used to examine the power to detect a change in fledgling weights after an impact. The statistical models were developed from first principles and incorporated both within- and between-year variability of fledgling weights. These models assume that data are collected during a fixed CEMP five-day period corresponding to the average peak fledging period. Modelling assumes that fledgling weights are likely to respond to resource availability as a step change represented as either a percentage increase or decrease after an impact. Fledgling weight was found to decline through the fledging period each year, but there was no evidence that the rate of decline differed between years. A consequence of this finding is that it may be possible to simplify future monitoring, such that fledgling weight is measured at a single time each year, without substantial loss of power to detect change. Further modelling work is identified to investigate this possibility. Modelling also indicated the potential for reducing the number of birds weighed in each five-day period from 50 to 30 without substantial loss of power. If practical, these findings could have substantial benefits by simplifying data collection.</t>
  </si>
  <si>
    <t>Australian Antarctic Div, Dept Environm &amp; Heritage, Kingston, Tas 7050, Australia</t>
  </si>
  <si>
    <t>Australian Antarctic Division</t>
  </si>
  <si>
    <t>Emmerson, LM (corresponding author), Australian Antarctic Div, Dept Environm &amp; Heritage, Channel Highway, Kingston, Tas 7050, Australia.</t>
  </si>
  <si>
    <t>louise.emmerson@aad.gov.au</t>
  </si>
  <si>
    <t>WOS:000242336000010</t>
  </si>
  <si>
    <t>Southwell, C; Clarke, J; Emmerson, LM</t>
  </si>
  <si>
    <t>Southwell, C.; Clarke, J.; Emmerson, L. M.</t>
  </si>
  <si>
    <t>Assessing the power to detect systematic change in Adelie penguin foraging trip duration</t>
  </si>
  <si>
    <t>Adelie penguin; CEMP; change detection; foraging trip duration; power; temporal variability; CCAMLR</t>
  </si>
  <si>
    <t>BECHERVAISE ISLAND; BREEDING SUCCESS; IMPROVEMENT; LESSONS; ECOLOGY; DESIGN</t>
  </si>
  <si>
    <t>Models of variability in Adelie penguin foraging trip durations were constructed and fitted to data collected at Bechervaise Island over a 12-year period when only natural variation was known to occur. Variability among trips and penguins was greater in the creche stage, but variability among years was greater in the guard stage. Estimates of variability were used to explore the power to detect change under particular impact and monitoring scenarios. Power to detect change was greater in the creche stage than the guard stage. The gain obtained by increasing the number of penguins or trips sampled diminished rapidly when sample sizes were greater than 30 penguins and three trips per penguin. Statistics were developed to test for three forms of change (step, trend and ramp). A test for change based on the difference between pre- and post-impact means generally performed better than a test based on the slope of a trending post-impact change or a joint test of difference and slope. While foraging trip duration is considered to be sensitive to changes in food availability over time scales of days to weeks, because of the high level of natural between-year variation, it would take many years of post-impact monitoring to detect systematic change with high power unless one were willing to relax the Type I error rate to a rate well above the traditional level of 5%. The strategy of including ice cover as a covariate to explain between-year variation in trip duration increased the power to detect change in the guard stage, but the likely dependence between ice cover and fishing activity could confound interpretation and thus, in this case, this strategy is not recommended.</t>
  </si>
  <si>
    <t>Southwell, C (corresponding author), Australian Antarctic Div, Dept Environm &amp; Heritage, Channel Highway, Kingston, Tas 7050, Australia.</t>
  </si>
  <si>
    <t>WOS:000242336000011</t>
  </si>
  <si>
    <t>Mori, M; Butterworth, DS</t>
  </si>
  <si>
    <t>Mori, M.; Butterworth, D. S.</t>
  </si>
  <si>
    <t>A first step towards modelling the krill-predator dynamics of the Antarctic ecosystem</t>
  </si>
  <si>
    <t>Review</t>
  </si>
  <si>
    <t>Antarctic; ecosystem modelling; predator-prey; competitive release; krill surplus; krill; baleen whale; seal; CCAMLR</t>
  </si>
  <si>
    <t>SEALS ARCTOCEPHALUS-GAZELLA; SOUTH SHETLAND ISLANDS; FUR SEALS; BREEDING-SEASON; HEARD-ISLAND; EUPHAUSIA-SUPERBA; FOOD-CONSUMPTION; MARINE ECOSYSTEM; MINKE WHALES; FISH PREY</t>
  </si>
  <si>
    <t>The history of human harvests of seals, whales, fish and krill in the Antarctic is summarised briefly, and the central role played by krill emphasised. The background to the hypothesis of a krill surplus in the mid-20th century is described, and the information on population and trend levels that has become available since the postulate was first advanced is discussed. The objective of the study is to determine whether predator-prey interactions alone can broadly explain observed population trends without the need for recourse to environmental change hypotheses. A model is developed including krill, four baleen whale (blue, fin, humpback and minke) and two seal (Antarctic fur and crabeater) species. The model commences in 1780 (the onset of fur seal harvests) and distinguishes the Atlantic/Indian and Pacific Ocean sectors of the Southern Ocean in view of the much larger past harvests in the former. A reference case and six sensitivities are fitted to available data on predator abundances and trends, and the plausibility of the results and the assumptions on which they are based is discussed, together with suggested further areas for investigation. Amongst the key inferences of the study are that: (i) species interaction effects alone can explain observed predator abundance trends, though not without some difficulty; (ii) it is necessary to consider other species, in addition to baleen whales and krill, to explain observed trends - crabeater seals seemingly play an important role and constitute a particular priority for improved abundance and trend information; (iii) the Atlantic/Indian Ocean sector shows major changes in species abundances, in contrast to the Pacific Ocean sector, which is much more stable; (iv) baleen whales have to be able to achieve relatively high growth rates to explain observed trends; and (v) Laws' (1977) estimate of some 150 million tonnes for the krill surplus may be appreciably too high as a result of his calculations omitting consideration of density-dependent effects in feeding rates.</t>
  </si>
  <si>
    <t>Univ Cape Town, MARAM Marine Resource Assessment &amp; Management Grp, Dept Math &amp; Appl Math, ZA-7701 Rondebosch, South Africa</t>
  </si>
  <si>
    <t>Mori, M (corresponding author), Inst Cetacean Res, Chuo Ku, 4-5 Toyomi Cho, Tokyo 1040055, Japan.</t>
  </si>
  <si>
    <t>mori@cetacean.jp</t>
  </si>
  <si>
    <t>WOS:000242336000012</t>
  </si>
  <si>
    <t>C</t>
  </si>
  <si>
    <t>Bhartia, R; Hug, WF; Salas, EC; Sijapati, K; Lane, AL; Reid, RD; Conrad, PG</t>
  </si>
  <si>
    <t>Gardner, PJ; Fountain, AW</t>
  </si>
  <si>
    <t>Bhartia, R.; Hug, W. F.; Salas, E. C.; Sijapati, K.; Lane, A. L.; Reid, R. D.; Conrad, P. G.</t>
  </si>
  <si>
    <t>Biochemical detection and identification false alarm rate dependence on wavelength using laser induced native fluorescence</t>
  </si>
  <si>
    <t>CHEMICAL AND BIOLOGICAL SENSING VII</t>
  </si>
  <si>
    <t>Proceedings of SPIE</t>
  </si>
  <si>
    <t>Proceedings Paper</t>
  </si>
  <si>
    <t>Conference on Chemical and Biological Sensing VII</t>
  </si>
  <si>
    <t>APR 19-21, 2006</t>
  </si>
  <si>
    <t>Kissimmee, FL</t>
  </si>
  <si>
    <t>native fluorescence; biological and chemical; detection and classification</t>
  </si>
  <si>
    <t>Most organic and many inorganic materials absorb strongly in specific wavelength ranges in the deep UV between about 220nm and 300nm. Excitation within these absorption bands results in native fluorescence emission. Each compound or composite material, such as a bacterial spore, has a unique excitation-emission fingerprint that can be used to provide information about the material. The sensitivity and specificity with which these materials can be detected and identified depends on the excitation wavelength and the number and location of observation wavelengths. We will present data on our deep ultraviolet Targeted Ultraviolet Chemical Sensors that demonstrate the sensitivity and specificity of the sensors. In particular, we will demonstrate the ability to quantitatively differentiate a wide range of biochemical agent targets against a wide range of background materials. We will describe the relationship between spectral resolution and specificity in target identification, as well as simple, fast, algorithms to identify materials. Hand-held, battery operated instruments using a deep UV laser and multi-band detection have been developed and deployed on missions to the Antarctic, the Arctic, and the deep ocean with the capability of detecting a single bacterial spore and to differentiate a wide range of organic and biological compounds.</t>
  </si>
  <si>
    <t>[Bhartia, R.; Lane, A. L.; Conrad, P. G.] CALTECH, Jet Prop Lab, 4800 Oak Grove Dr, Pasadena, CA 91109 USA; [Hug, W. F.; Sijapati, K.; Reid, R. D.] Photon Syst Inc, Covina, CA 91722 USA; [Salas, E. C.] Univ Southern Calif, Los Angeles, CA 90089 USA</t>
  </si>
  <si>
    <t>National Aeronautics &amp; Space Administration (NASA); NASA Jet Propulsion Laboratory (JPL); California Institute of Technology; University of Southern California</t>
  </si>
  <si>
    <t>Bhartia, R (corresponding author), CALTECH, Jet Prop Lab, 4800 Oak Grove Dr, Pasadena, CA 91109 USA.</t>
  </si>
  <si>
    <t>Conrad, Pamela/F-1506-2012</t>
  </si>
  <si>
    <t>Conrad, Pamela/0000-0001-8805-7981; Bhartia, Rohit/0000-0002-1434-7481</t>
  </si>
  <si>
    <t>JPL RTD; NASA AEMC; NASA ASTEP; NASA ASTID</t>
  </si>
  <si>
    <t>JPL RTD; NASA AEMC; NASA ASTEP(National Aeronautics &amp; Space Administration (NASA)); NASA ASTID</t>
  </si>
  <si>
    <t>We would like to thank Michael Pelletier and Alexandre Tsapin of the Jet Propulsion Laboratories for their contributions. Additionally we would like to thank the JPL R&amp;TD , NASA AEMC, NASA ASTEP, and NASA ASTID, programs for funding support of this work.</t>
  </si>
  <si>
    <t>SPIE-INT SOC OPTICAL ENGINEERING</t>
  </si>
  <si>
    <t>BELLINGHAM</t>
  </si>
  <si>
    <t>1000 20TH ST, PO BOX 10, BELLINGHAM, WA 98227-0010 USA</t>
  </si>
  <si>
    <t>0277-786X</t>
  </si>
  <si>
    <t>1996-756X</t>
  </si>
  <si>
    <t>0-8194-6274-8</t>
  </si>
  <si>
    <t>PROC SPIE</t>
  </si>
  <si>
    <t>62180J</t>
  </si>
  <si>
    <t>10.1117/12.674404</t>
  </si>
  <si>
    <t>Instruments &amp; Instrumentation</t>
  </si>
  <si>
    <t>Conference Proceedings Citation Index - Science (CPCI-S)</t>
  </si>
  <si>
    <t>BES56</t>
  </si>
  <si>
    <t>WOS:000239300700017</t>
  </si>
  <si>
    <t>Azzali, M; Leonori, I; De Felice, A; Russo, A</t>
  </si>
  <si>
    <t>Azzali, M.; Leonori, I.; De Felice, A.; Russo, A.</t>
  </si>
  <si>
    <t>Spatial-temporal relationships between two euphausiid species in the Ross Sea</t>
  </si>
  <si>
    <t>CHEMISTRY AND ECOLOGY</t>
  </si>
  <si>
    <t>Article; Proceedings Paper</t>
  </si>
  <si>
    <t>Joint Scientific Meeting of the National-Inter-University-Consortium-For-Marine-Sciences/XVI Congress of the Italian-Association-for-Oceanology-and-Limnology</t>
  </si>
  <si>
    <t>OCT 18-22, 2004</t>
  </si>
  <si>
    <t>Palermo, ITALY</t>
  </si>
  <si>
    <t>Euphausia superba; Euphausia crystallorophias; Ross Sea; echosurvey; biomass; polynya ice edge</t>
  </si>
  <si>
    <t>KRILL; PHYTOPLANKTON; CRUSTACEA; OCEAN</t>
  </si>
  <si>
    <t>This paper summarizes the results obtained during the Italian marine Antarctic expeditions to the Ross Sea in November and December 1994, December 1997, and January 2000. The distribution and abundance of the two krill species (Euphausia superba and Euphausia crystallorophias) are shown in relation to the degree of ice cover, and a potential mechanism is presented that allows the coexistence of the two similar species in the same region. The surveys indicate that the northern and north-western areas of the Ross Sea are largely dominated by Euphausia superba, while the southern and southwestern areas are dominated by Euphausia crystallorophias. The two krill populations show some overlap in the central part of the Ross Sea, where the distribution of the two species appears related to the ice cover. The biomass centroids of the two krill species seem to move northward associated with the ice edge retreat in summer. The centroid of the Euphausia superba biomass moves much faster and further than that of Euphausia crystallorophias and reaches ice-free waters at the edge of the Ross Sea in summer. This suggests that the spatial extent of the Euphausia superba population may extend beyond the Ross Sea, and a portion of this population may spread into the ocean waters starting in early January. In contrast, the Euphausia crystallorophias population appears to be restricted to the Ross Sea.</t>
  </si>
  <si>
    <t>Ist Sci Marine, Sez Ancona, ISMAR, CNR, I-60125 Ancona, Italy; Univ Politecn Marche, Dipartimento Sci Mare, Ancona, Italy</t>
  </si>
  <si>
    <t>Consiglio Nazionale delle Ricerche (CNR); Istituto di Scienze Marine (ISMAR-CNR); Marche Polytechnic University</t>
  </si>
  <si>
    <t>Azzali, M (corresponding author), Ist Sci Marine, Sez Ancona, ISMAR, CNR, Largo Fiera Pesca, I-60125 Ancona, Italy.</t>
  </si>
  <si>
    <t>m.azzali@ismar.cnr.it</t>
  </si>
  <si>
    <t>Leonori, Iole/AAD-7901-2020; De+Felice, Andrea/AHA-1500-2022; Russo, Aniello/A-2319-2010; CNR, Ismar/P-1247-2014</t>
  </si>
  <si>
    <t>Leonori, Iole/0000-0001-7673-1684; De+Felice, Andrea/0000-0002-0051-2052; Russo, Aniello/0000-0003-3651-8146; CNR, Ismar/0000-0001-5351-1486</t>
  </si>
  <si>
    <t>TAYLOR &amp; FRANCIS LTD</t>
  </si>
  <si>
    <t>ABINGDON</t>
  </si>
  <si>
    <t>4 PARK SQUARE, MILTON PARK, ABINGDON OX14 4RN, OXON, ENGLAND</t>
  </si>
  <si>
    <t>0275-7540</t>
  </si>
  <si>
    <t>CHEM ECOL</t>
  </si>
  <si>
    <t>Chem. Ecol.</t>
  </si>
  <si>
    <t>10.1080/02757540600670836</t>
  </si>
  <si>
    <t>Biochemistry &amp; Molecular Biology; Ecology; Environmental Sciences</t>
  </si>
  <si>
    <t>Conference Proceedings Citation Index - Science (CPCI-S); Science Citation Index Expanded (SCI-EXPANDED)</t>
  </si>
  <si>
    <t>Biochemistry &amp; Molecular Biology; Environmental Sciences &amp; Ecology</t>
  </si>
  <si>
    <t>093VP</t>
  </si>
  <si>
    <t>WOS:000241198700018</t>
  </si>
  <si>
    <t>Cerrano, C; Calcinai, B; Bertolino, M; Valisano, L; Bavestrello, G</t>
  </si>
  <si>
    <t>Cerrano, C.; Calcinai, B.; Bertolino, M.; Valisano, L.; Bavestrello, G.</t>
  </si>
  <si>
    <t>Epibionts of the scallop Adamussium colbecki (Smith, 1902) in the Ross Sea, Antarctica</t>
  </si>
  <si>
    <t>epibiosis; ecosystem engineer; phoresy; substratum; marine molluscs</t>
  </si>
  <si>
    <t>TERRA-NOVA BAY; ECOSYSTEM ENGINEERS; MCMURDO SOUND; SPONGES; ASTEROIDS</t>
  </si>
  <si>
    <t>Although it is characterized by a patchy distribution, Adamussium colbecki is considered the most important bivalve of Antarctica, mainly in relation to its functional role in the transfer of energy from the water column to the benthos. Here, we compare the epibionts of A. colbecki front three different areas, highlighting the importance of their shells as a natural secondary hard bottom for many taxa. In this way, we show that due to its ability to swim, the scallop may contribute to the dispersion of epibiotic species, and this probably increases their survival. These data amplify the ecological roles of A. colbecki, which, along with its shells, can be considered an important ecosystem engineer in Antarctic communities.</t>
  </si>
  <si>
    <t>Univ Genoa, Dipartimento Studio Terr &amp; Sue Risorse, I-16132 Genoa, Italy; Univ Politecn Marche, Dipartimento Sci Mare, I-60131 Ancona, Italy</t>
  </si>
  <si>
    <t>University of Genoa; Marche Polytechnic University</t>
  </si>
  <si>
    <t>Cerrano, C (corresponding author), Univ Genoa, Dipartimento Studio Terr &amp; Sue Risorse, Cso Europa 26, I-16132 Genoa, Italy.</t>
  </si>
  <si>
    <t>cerrano@dipteris.unige.it</t>
  </si>
  <si>
    <t>Bavestrello, Giorgio/JXN-5230-2024; Cerrano, Carlo/AAF-3557-2019</t>
  </si>
  <si>
    <t>Cerrano, Carlo/0000-0001-9580-5546; BERTOLINO, Marco/0000-0003-3233-303X</t>
  </si>
  <si>
    <t>10.1080/02757540600688101</t>
  </si>
  <si>
    <t>WOS:000241198700019</t>
  </si>
  <si>
    <t>B</t>
  </si>
  <si>
    <t>Herrick, SF; Hill, K; Reiss, C</t>
  </si>
  <si>
    <t>Hannesson, R; Barange, M; Herrick, SF</t>
  </si>
  <si>
    <t>Herrick, Samuel F., Jr.; Hill, Kevin; Reiss, Christian</t>
  </si>
  <si>
    <t>An optimal harvest policy for the recently renewed United States Pacific sardine fishery</t>
  </si>
  <si>
    <t>CLIMATE CHANGE AND THE ECONOMICS OF THE WORLDS FISHERIES: EXAMPLE OF SMALL PELAGIC STOCKS</t>
  </si>
  <si>
    <t>New Horizons in Environmental Economics</t>
  </si>
  <si>
    <t>Article; Book Chapter</t>
  </si>
  <si>
    <t>NORTHERN ANCHOVY; VARIABILITY; POPULATIONS; CAERULEA; SAGAX</t>
  </si>
  <si>
    <t>[Herrick, Samuel F., Jr.; Reiss, Christian] US Natl Marine Fisheries Serv, Antarctic Ecosyst Res Div, La Jolla, CA USA</t>
  </si>
  <si>
    <t>National Oceanic Atmospheric Admin (NOAA) - USA</t>
  </si>
  <si>
    <t>Herrick, SF (corresponding author), US Natl Marine Fisheries Serv, Antarctic Ecosyst Res Div, La Jolla, CA USA.</t>
  </si>
  <si>
    <t>EDWARD ELGAR PUBLISHING LTD</t>
  </si>
  <si>
    <t>CHELTENHAM</t>
  </si>
  <si>
    <t>GLENSANDA HOUSE, MONTPELLIER PARADE, CHELTENHAM GL50 1UA, GLOS, ENGLAND</t>
  </si>
  <si>
    <t>978-1-84542-447-3</t>
  </si>
  <si>
    <t>NEW HORIZ ENVIRON EC</t>
  </si>
  <si>
    <t>Economics; Environmental Studies; Fisheries</t>
  </si>
  <si>
    <t>Book Citation Index – Social Sciences &amp; Humanities (BKCI-SSH); Book Citation Index – Science (BKCI-S)</t>
  </si>
  <si>
    <t>Business &amp; Economics; Environmental Sciences &amp; Ecology; Fisheries</t>
  </si>
  <si>
    <t>BRY87</t>
  </si>
  <si>
    <t>WOS:000283926800006</t>
  </si>
  <si>
    <t>Rother, H; Shulmeister, J</t>
  </si>
  <si>
    <t>Rother, H.; Shulmeister, J.</t>
  </si>
  <si>
    <t>Synoptic climate change as a driver of late Quaternary glaciations in the mid-latitudes of the Southern Hemisphere</t>
  </si>
  <si>
    <t>CLIMATE OF THE PAST</t>
  </si>
  <si>
    <t>COSMOGENIC NUCLIDE CHRONOLOGY; SOUTHWEST PACIFIC-OCEAN; FRANZ-JOSEF-GLACIER; NEW-ZEALAND; ATMOSPHERIC CIRCULATION; LAST DEGLACIATION; VEGETATION CHANGE; LATE PLEISTOCENE; EUROPEAN ALPS; MASS-BALANCE</t>
  </si>
  <si>
    <t>The relative timing of late Quaternary glacial advances in mid-latitude (40-55 degrees S) mountain belts of the Southern Hemisphere (SH) has become a critical focus in the debate on global climate teleconnections. On the basis of glacial data from New Zealand (NZ) and southern South America it has been argued that interhemispheric synchrony or asynchrony of Quaternary glacial events is due to Northern Hemisphere (NH) forcing of SH climate through either the ocean or atmosphere systems. Here we present a glacial snow-mass balance model that demonstrates that large scale glaciation in the temperate and hyperhumid Southern Alps of New Zealand can be generated with moderate cooling. This is because the rapid conversion of precipitation from rainfall to snowfall drives massive ice accumulation at small thermal changes (1-4 degrees C). Our model is consistent with recent paleo-environmental reconstructions showing that glacial advances in New Zealand during the Last Glacial Maximum (LGM) and the Last Glacial Interglacial Transition (LGIT) occurred under very moderate cooling. We suggest that such moderate cooling could be generated by changes in synoptic climatology, specifically through enhanced regional flow of moist westerly air masses. Our results imply that NH climate forcing may not have been the exclusive driver of Quaternary glaciations in New Zealand and that synoptic style climate variations are a better explanation for at least some late Quaternary glacial events, in particular during the LGIT (e.g. Younger Dryas and/or Antarctic Cold Reversal).</t>
  </si>
  <si>
    <t>Univ Canterbury, Dept Geol Sci, Christchurch, New Zealand</t>
  </si>
  <si>
    <t>University of Canterbury</t>
  </si>
  <si>
    <t>Rother, H (corresponding author), Univ Canterbury, Dept Geol Sci, Private Bag 4800, Christchurch, New Zealand.</t>
  </si>
  <si>
    <t>h.rother@geol.canterbury.ac.nz</t>
  </si>
  <si>
    <t>shulmeister, james/J-2859-2015</t>
  </si>
  <si>
    <t>shulmeister, james/0000-0001-5863-9462</t>
  </si>
  <si>
    <t>COPERNICUS PUBLICATIONS</t>
  </si>
  <si>
    <t>KATHLENBURG-LINDAU</t>
  </si>
  <si>
    <t>MAX-PLANCK-STR 13, KATHLENBURG-LINDAU, 37191, GERMANY</t>
  </si>
  <si>
    <t>1814-9324</t>
  </si>
  <si>
    <t>CLIM PAST</t>
  </si>
  <si>
    <t>Clim. Past.</t>
  </si>
  <si>
    <t>10.5194/cp-2-11-2006</t>
  </si>
  <si>
    <t>Geosciences, Multidisciplinary; Meteorology &amp; Atmospheric Sciences</t>
  </si>
  <si>
    <t>Geology; Meteorology &amp; Atmospheric Sciences</t>
  </si>
  <si>
    <t>140LI</t>
  </si>
  <si>
    <t>Green Published, Green Submitted, gold</t>
  </si>
  <si>
    <t>WOS:000244506200002</t>
  </si>
  <si>
    <t>Köhler, P; Fischer, H</t>
  </si>
  <si>
    <t>Koehler, P.; Fischer, H.</t>
  </si>
  <si>
    <t>Simulating low frequency changes in atmospheric CO2 during the last 740 000 years</t>
  </si>
  <si>
    <t>VOSTOK ICE CORE; ANTARCTIC SEA-ICE; SOUTHERN-OCEAN; NORTH-ATLANTIC; CALCITE PRESERVATION; CACO3 COMPENSATION; GLACIAL MAXIMUM; CLIMATE-CHANGE; CARBON-CYCLE; TEMPERATURE</t>
  </si>
  <si>
    <t>Atmospheric CO2 measured in Antarctic ice cores shows a natural variability of 80 to 100 ppmv during the last four glacial cycles and variations of approximately 60 ppmv in the two cycles between 410 and 650 kyr BP. We here use various paleo-climatic records from the EPICA Dome C Antarctic ice core and from oceanic sediment cores covering the last 740 kyr to force the ocean/atmosphere/biosphere box model of the global carbon cycle BICYCLE in a forward mode over this time in order to interpret the natural variability of CO2. Our approach is based on the previous interpretation of carbon cycle variations during Termination I (Kohler et al., 2005a). In the absense of a process-based sediment module one main simplification of BICYCLE is that carbonate compensation is approximated by the temporally delayed restoration of deep ocean [CO32-]. Our results match the low frequency changes in CO2 measured in the Vostok and the EPICA Dome C ice core for the last 650 kyr BP (r(2)approximate to 0.75). During these transient simulations the carbon cycle reaches never a steady state due to the ongoing variability of the overall carbon budget caused by the time delayed response of the carbonate compensation to other processes. The average contributions of different processes to the rise in CO2 during Terminations I to V and during earlier terminations are: the rise in Southern Ocean vertical mixing: 36/22 ppmv, the rise in ocean temperature: 26/11 ppmv, iron limitation of the marine biota in the Southern Ocean: 20/14 ppmv, carbonate compensation: 15/7 ppmv, the rise in North Atlantic deep water formation: 13/0 ppmv, the rise in gas exchange due to a decreasing sea ice cover: -8/-7 ppmv, sea level rise: -12/-4 ppmv, and rising terrestrial carbon storage: -13/-6 ppmv. According to our model the smaller interglacial CO2 values in the pre-Vostok period prior to Termination V are mainly caused by smaller interglacial Southern Ocean SST and an Atlantic THC which stayed before MIS 11 (before 420 kyr BP) in its weaker glacial circulation mode.</t>
  </si>
  <si>
    <t>Alfred Wegener Inst Polar &amp; Marine Res, Helmholtz Ctr Polar &amp; Marine Res, D-27515 Bremerhaven, Germany</t>
  </si>
  <si>
    <t>Helmholtz Association; Alfred Wegener Institute, Helmholtz Centre for Polar &amp; Marine Research</t>
  </si>
  <si>
    <t>Köhler, P (corresponding author), Alfred Wegener Inst Polar &amp; Marine Res, Helmholtz Ctr Polar &amp; Marine Res, POB 12 01 61, D-27515 Bremerhaven, Germany.</t>
  </si>
  <si>
    <t>pkoehler@awi-bremerhaven.de</t>
  </si>
  <si>
    <t>Köhler, Peter/F-7293-2010; Fischer, Hubertus/A-1211-2014</t>
  </si>
  <si>
    <t>Köhler, Peter/0000-0003-0904-8484; Fischer, Hubertus/0000-0002-2787-4221</t>
  </si>
  <si>
    <t>COPERNICUS GESELLSCHAFT MBH</t>
  </si>
  <si>
    <t>GOTTINGEN</t>
  </si>
  <si>
    <t>BAHNHOFSALLEE 1E, GOTTINGEN, 37081, GERMANY</t>
  </si>
  <si>
    <t>1814-9332</t>
  </si>
  <si>
    <t>140LK</t>
  </si>
  <si>
    <t>gold, Green Submitted</t>
  </si>
  <si>
    <t>WOS:000244506500001</t>
  </si>
  <si>
    <t>Masson-Delmotte, V; Dreyfus, G; Braconnot, P; Johnsen, S; Jouzel, J; Kageyama, M; Landais, A; Loutre, MF; Nouet, J; Parrenin, F; Raynaud, D; Stenni, B; Tuenter, E</t>
  </si>
  <si>
    <t>Masson-Delmotte, V.; Dreyfus, G.; Braconnot, P.; Johnsen, S.; Jouzel, J.; Kageyama, M.; Landais, A.; Loutre, M. -F.; Nouet, J.; Parrenin, F.; Raynaud, D.; Stenni, B.; Tuenter, E.</t>
  </si>
  <si>
    <t>Past temperature reconstructions from deep ice cores: relevance for future climate change</t>
  </si>
  <si>
    <t>ANTARCTIC SEA-ICE; FREQUENCY-MODULATION; ISOTOPIC COMPOSITION; HYDROLOGICAL CYCLE; CENTRAL GREENLAND; LATE PLEISTOCENE; EAST ANTARCTICA; STABLE-ISOTOPES; GLACIAL CYCLES; TRAPPED AIR</t>
  </si>
  <si>
    <t>Ice cores provide unique archives of past climate and environmental changes based only on physical processes. Quantitative temperature reconstructions are essential for the comparison between ice core records and climate models. We give an overview of the methods that have been developed to reconstruct past local temperatures from deep ice cores and highlight several points that are relevant for future climate change. We first analyse the long term fluctuations of temperature as depicted in the long Antarctic record from EPICA Dome C. The long term imprint of obliquity changes in the EPICA Dome C record is highlighted and compared to simulations conducted with the ECBILT-CLIO intermediate complexity climate model. We discuss the comparison between the current interglacial period and the long interglacial corresponding to marine isotopic stage 11, similar to 400 kyr BP. Previous studies had focused on the role of precession and the thresholds required to induce glacial inceptions. We suggest that, due to the low eccentricity configuration of MIS 11 and the Holocene, the effect of precession on the incoming solar radiation is damped and that changes in obliquity must be taken into account. The EPICA Dome C alignment of terminations I and VI published in 2004 corresponds to a phasing of the obliquity signals. A conjunction of low obliquity and minimum northern hemisphere summer insolation is not found in the next tens of thousand years, supporting the idea of an unusually long interglacial ahead. As a second point relevant for future climate change, we discuss the magnitude and rate of change of past temperatures reconstructed from Greenland (NorthGRIP) and Antarctic (Dome C) ice cores. Past episodes of temperatures above the present-day values by up to 5 degrees C are recorded at both locations during the penultimate interglacial period. The rate of polar warming simulated by coupled climate models forced by a CO2 increase of 1% per year is compared to ice-core-based temperature reconstructions. In Antarctica, the CO2-induced warming lies clearly beyond the natural rhythm of temperature fluctuations. In Greenland, the CO2-induced warming is as fast or faster than the most rapid temperature shifts of the last ice age. The magnitude of polar temperature change in response to a quadrupling of atmospheric CO2 is comparable to the magnitude of the polar temperature change from the Last Glacial Maximum to present-day. When forced by prescribed changes in ice sheet reconstructions and CO2 changes, climate models systematically underestimate the glacial-interglacial polar temperature change.</t>
  </si>
  <si>
    <t>CEA Saclay, Lab Sci Climat &amp; Environm, IPSL, CEA,CNRS,UVSQ, F-91191 Gif Sur Yvette, France; Univ Copenhagen, Niels Bohr Inst, Copenhagen, Denmark; Hebrew Univ Jerusalem, Inst Earth Sci, IL-91904 Jerusalem, Israel; Catholic Univ Louvain, Inst Astron &amp; Geophys Georges Lemaitre, B-3000 Louvain, Belgium; UJF, Lab Glaciol &amp; Geophys Environm, CNRS, F-38402 St Martin Dheres, France; Univ Trieste, Dept Geol Environm &amp; Marine Sci, Trieste, Italy; Univ Utrecht, Dept Earth Sci, Utrecht, Netherlands</t>
  </si>
  <si>
    <t>Universite Paris Cite; Universite Paris Saclay; CEA; Centre National de la Recherche Scientifique (CNRS); University of Copenhagen; Niels Bohr Institute; Hebrew University of Jerusalem; Universite Catholique Louvain; Communaute Universite Grenoble Alpes; Universite Grenoble Alpes (UGA); Centre National de la Recherche Scientifique (CNRS); University of Trieste; Utrecht University</t>
  </si>
  <si>
    <t>Masson-Delmotte, V (corresponding author), CEA Saclay, Lab Sci Climat &amp; Environm, IPSL, CEA,CNRS,UVSQ, Bat 701 Lorme, F-91191 Gif Sur Yvette, France.</t>
  </si>
  <si>
    <t>valerie.masson@cea.fr</t>
  </si>
  <si>
    <t>raynaud, dominique/ABG-4718-2020; IPO, PAGES/JXY-7546-2024; Raynaud, Dominique/H-9626-2016; Masson-Delmotte, Valerie L/G-1995-2011; Parrenin, Frédéric/H-3054-2014; Loutre, Marie-France/L-3594-2018; Kageyama, Masa/F-2389-2010</t>
  </si>
  <si>
    <t>Masson-Delmotte, Valerie L/0000-0001-8296-381X; Parrenin, Frédéric/0000-0002-9489-3991; Loutre, Marie-France/0000-0001-6944-4038; Kageyama, Masa/0000-0003-0822-5880; LANDAIS, Amaelle/0000-0002-5620-5465; Stenni, Barbara/0000-0003-4950-3664; Nouet, Julius/0000-0001-5435-542X</t>
  </si>
  <si>
    <t>10.5194/cp-2-145-2006</t>
  </si>
  <si>
    <t>Green Submitted, gold</t>
  </si>
  <si>
    <t>WOS:000244506500008</t>
  </si>
  <si>
    <t>Shulmeister, J; Rodbell, DT; Gagan, MK; Seltzer, GO</t>
  </si>
  <si>
    <t>Shulmeister, J.; Rodbell, D. T.; Gagan, M. K.; Seltzer, G. O.</t>
  </si>
  <si>
    <t>Inter-hemispheric linkages in climate change: paleo-perspectives for future climate change</t>
  </si>
  <si>
    <t>LAST GLACIAL MAXIMUM; NINO-SOUTHERN-OSCILLATION; HOLOCENE EL-NINO; COSMOGENIC NUCLIDE CHRONOLOGY; EQUILIBRIUM-LINE ALTITUDES; FRANZ-JOSEF-GLACIER; NEW-ZEALAND; LATE PLEISTOCENE; YOUNGER DRYAS; TROPICAL ANDES</t>
  </si>
  <si>
    <t>The Pole-Equator-Pole (PEP) projects of the PANASH (Paleoclimates of the Northern and Southern Hemisphere) programme have significantly advanced our understanding of past climate change on a global basis and helped to integrate paleo-science across regions and research disciplines. PANASH science allows us to constrain predictions for future climate change and to contribute to the management of consequent environmental changes. We identify three broad areas where PEP science makes key contributions. 1. The pattern of global changes. Knowing the exact timing of glacial advances (synchronous or otherwise) during the last glaciation is critical to understanding interhemispheric links in climate. Work in PEPI demonstrated that the tropical Andes in South America were deglaciated earlier than the Northern Hemisphere (NH) and that an extended warming began there ca. 21 000 cal years BP. The general pattern is consistent with Antarctica and has now been replicated from studies in Southern Hemisphere (SH) regions of the PEPII transect. That significant deglaciation of SH alpine systems and Antarctica led deglaciation of NH ice sheets may reflect either i) faster response times in alpine systems and Antarctica, ii) regional moisture patterns that influenced glacier mass balance, or iii) a SH temperature forcing that led changes in the NH. This highlights the limitations of current understanding and the need for further fundamental paleoclimate research. 2. Changes in modes of operation of oscillatory climate systems. Work across all the PEP transects has led to the recognition that the El Nino Southern Oscillation (ENSO) phenomenon has changed markedly through time. It now appears that ENSO operated during the last glacial termination and during the early Holocene, but that precipitation teleconnections even within the Pacific Basin were turned down, or off. In the modern ENSO phenomenon both inter-annual and seven year periodicities are present, with the inter-annual signal dominant. Paleo-data demonstrate that the relative importance of the two periodicities changes through time, with longer periodicities dominant in the early Holocene. 3. The recognition of climate modulation of oscillatory systems by climate events. We examine the relationship of ENSO to a SH climate event, the Antarctic cold reversal (ACR), in the New Zealand region. We demonstrate that the onset of the ACR was associated with the apparent switching on of an ENSO signal in New Zealand. We infer that this related to enhanced zonal SW winds with the amplification of the pressure fields allowing an existing but weak ENSO signal to manifest itself. Teleconnections of this nature would be difficult to predict for future abrupt change as boundary conditions cannot readily be specified. Paleo-data are critical to predicting the teleconnections of future changes.</t>
  </si>
  <si>
    <t>Univ Canterbury, Dept Geol Sci, Christchurch 1, New Zealand; Union Coll, Dept Geol, Schenectady, NY 12308 USA; Australian Natl Univ, Res Sch Earth Sci, Canberra, ACT 2000, Australia; Syracuse Univ, Dept Earth Sci, Heroy Geol Lab, Syracuse, NY 13244 USA</t>
  </si>
  <si>
    <t>University of Canterbury; Union College; Australian National University; Syracuse University</t>
  </si>
  <si>
    <t>Shulmeister, J (corresponding author), Univ Canterbury, Dept Geol Sci, Pirvate Bag 4800, Christchurch 1, New Zealand.</t>
  </si>
  <si>
    <t>james.shulmeister@canterbury.ac.nz</t>
  </si>
  <si>
    <t>Shulmeister, James/J-2859-2015; Gagan, Michael K/L-5014-2018; IPO, PAGES/JXY-7546-2024</t>
  </si>
  <si>
    <t>10.5194/cp-2-167-2006</t>
  </si>
  <si>
    <t>WOS:000244506500009</t>
  </si>
  <si>
    <t>Jouzel, J; Lorius, C; Raynaud, D</t>
  </si>
  <si>
    <t>Jouzel, Jean; Lorius, Claude; Raynaud, Dominique</t>
  </si>
  <si>
    <t>Quaternary climate and atmospheric composition: new ice cores.</t>
  </si>
  <si>
    <t>COMPTES RENDUS PALEVOL</t>
  </si>
  <si>
    <t>French</t>
  </si>
  <si>
    <t>palaeoclimate; quaternary; ice cores; oceanic and continental archives; greenhouse effect</t>
  </si>
  <si>
    <t>ISOTOPE RECORDS; GREENLAND; TEMPERATURE; DOME; ANTARCTICA; END</t>
  </si>
  <si>
    <t>Over the last 20 years, studies of Antarctic and Greenland ice cores have provided a wealth of information directly relevant to the past and to the future evolution of our climate with, as more important, the discovery of a link between greenhouse gases and climate in the past and the characterization of rapid climate changes. These results are based on the analysis of deep ice cores such as the one drilled at the Vostok site, which allows us to describe the evolution of Antarctic climate and of atmospheric composition over 420 ka (thousands of years), and GRIP and GISP2 (Greenland), which precisely depict the rhythm of rapid changes during the last 100 ka. Information available from ice cores has considerably increased in 2004 thanks to the EPICA Dome C ice core in Antarctica and to the North GRIP one, in Greenland. We present these two successful international programs and describe the first results they have provided, with the EPICA Dome C core covering eight climatic cycles (800 ka) and the North GRIP one allowing us to reach, for the first time from a northern-hemisphere ice core, the Eemian, the warmest past of the last interglacial around 120 ka ago.</t>
  </si>
  <si>
    <t>CE Saclay, CNRS, UMR 1572, CEA,DSM,Inst Pierre Simon Laplace,Lab Sci Climat, F-91191 Gif Sur Yvette, France; CNRS, Lab Glaciol &amp; Geophys Environm, UMR 5183, UJF, F-38402 St Martin Dheres, France</t>
  </si>
  <si>
    <t>CEA; Centre National de la Recherche Scientifique (CNRS); Universite Paris Saclay; Universite Paris Cite; Communaute Universite Grenoble Alpes; Universite Grenoble Alpes (UGA); Centre National de la Recherche Scientifique (CNRS)</t>
  </si>
  <si>
    <t>Jouzel, J (corresponding author), CE Saclay, CNRS, UMR 1572, CEA,DSM,Inst Pierre Simon Laplace,Lab Sci Climat, F-91191 Gif Sur Yvette, France.</t>
  </si>
  <si>
    <t>jouzel@lsce.saclay.cea.fr</t>
  </si>
  <si>
    <t>Raynaud, Dominique/H-9626-2016; raynaud, dominique/ABG-4718-2020</t>
  </si>
  <si>
    <t>ELSEVIER FRANCE-EDITIONS SCIENTIFIQUES MEDICALES ELSEVIER</t>
  </si>
  <si>
    <t>ISSY-LES-MOULINEAUX</t>
  </si>
  <si>
    <t>65 RUE CAMILLE DESMOULINS, CS50083, 92442 ISSY-LES-MOULINEAUX, FRANCE</t>
  </si>
  <si>
    <t>1631-0683</t>
  </si>
  <si>
    <t>1777-571X</t>
  </si>
  <si>
    <t>CR PALEVOL</t>
  </si>
  <si>
    <t>C. R. Palevol</t>
  </si>
  <si>
    <t>JAN-FEB</t>
  </si>
  <si>
    <t>1-2</t>
  </si>
  <si>
    <t>10.1016/j.crpv.2005.09.013</t>
  </si>
  <si>
    <t>Paleontology</t>
  </si>
  <si>
    <t>053XO</t>
  </si>
  <si>
    <t>WOS:000238339700007</t>
  </si>
  <si>
    <t>Phillips, RR; Naylor, DA; Dahl, RE; Knee, L</t>
  </si>
  <si>
    <t>Shen, XC; Lu, W; Zhang, J; Dou, WB</t>
  </si>
  <si>
    <t>Phillips, Robin R.; Naylor, David A.; Dahl, Regan E.; Knee, Lewis</t>
  </si>
  <si>
    <t>The IRMA water vapour radiometer and its application to remote astronomical site testing</t>
  </si>
  <si>
    <t>CONFERENCE DIGEST OF THE 2006 JOINT 31ST INTERNATIONAL CONFERENCE ON INFRARED AND MILLIMETER WAVES AND 14TH INTERNATIONAL CONFERENCE ON TERAHERTZ ELECTRONICS</t>
  </si>
  <si>
    <t>Joint 31st International Conference on Infrared and Millimeter Waves/14th International Conference on Terahertz Electronics</t>
  </si>
  <si>
    <t>SEP 18-22, 2006</t>
  </si>
  <si>
    <t>Shanghai, PEOPLES R CHINA</t>
  </si>
  <si>
    <t>INFRARED RADIOMETER</t>
  </si>
  <si>
    <t>IRMA is a compact, low power, 20um IR water vapour monitor suitable for operation in the astronomical site testing role. IRMA units have been in operation at sites in Chile, Mexico and the USA for the TMT site testing campaign. An additional unit has been modified for operation in the extreme Antarctic environment at Dome C in 2007. We have developed a standalone solar panel/battery power supply and satellite phone based modem control system. This allows an IRMA unit to be powered and operated anywhere on the planet - for example, remote mountain tops in western China that might be suitable sites for telescope construction.</t>
  </si>
  <si>
    <t>[Phillips, Robin R.; Naylor, David A.; Dahl, Regan E.] Univ Lethbridge, Lethbridge, AB T1K 3M4, Canada; [Knee, Lewis] Herzberg Inst Astrophys, Victoria, BC, Canada</t>
  </si>
  <si>
    <t>University of Lethbridge; National Research Council Canada</t>
  </si>
  <si>
    <t>Phillips, RR (corresponding author), Univ Lethbridge, Lethbridge, AB T1K 3M4, Canada.</t>
  </si>
  <si>
    <t>robin.phillips@uleth.ca</t>
  </si>
  <si>
    <t>Knee, Lewis/0000-0002-9342-9003</t>
  </si>
  <si>
    <t>IEEE</t>
  </si>
  <si>
    <t>345 E 47TH ST, NEW YORK, NY 10017 USA</t>
  </si>
  <si>
    <t>978-1-4244-0399-8</t>
  </si>
  <si>
    <t>Engineering, Electrical &amp; Electronic</t>
  </si>
  <si>
    <t>Engineering</t>
  </si>
  <si>
    <t>BGH25</t>
  </si>
  <si>
    <t>WOS:000246942200178</t>
  </si>
  <si>
    <t>Krapp-Schickel, T; Koenemann, S</t>
  </si>
  <si>
    <t>Krapp-Schickel, Traudl; Koenemann, Stefan</t>
  </si>
  <si>
    <t>Cladistic analysis of the family Stenothoidae (Amphipoda, Crustacea)</t>
  </si>
  <si>
    <t>CONTRIBUTIONS TO ZOOLOGY</t>
  </si>
  <si>
    <t>taxonomy; Amphipoda; Stenothoidae; Thaumatelsonidae; phylogenetic analysis</t>
  </si>
  <si>
    <t>CLASSIFICATION</t>
  </si>
  <si>
    <t>The amphipod family Stenothoidae contains more than 200 species in about 40 genera; these genera are at present often defined not by the presence, but by the absence of synapomorphies, thus defining grades rather than clades. Our phylogenetic analyses yielded 4 groups of stenothoids: a basic proboloidid clade; an advanced and always clearly separated Austral-Antarctic thaumatelsonid clade, with a possibly related Arctic mesometopid clade; and finally a poorly resolved group, the stenothoids sensu stricto, including the large and probably polyphyletic genera Stenothoe and Metopa, each with more than 50 species. It is proposed to study and analyse these groups separately in future, based on better redescriptions of the individual species. Our analyses support the family status of the Thaumatelsonidae, erected as a family by Gurjanova in 1938, but reduced to subfamily rank by Barnard in 1972.</t>
  </si>
  <si>
    <t>Forschungsinst &amp; Museum A Koenig, Bonn, Germany; Tierarztlichen Hsch Hannover, Inst Tierokol &amp; Zellbiol, D-3000 Hannover, Germany</t>
  </si>
  <si>
    <t>University of Veterinary Medicine Hannover</t>
  </si>
  <si>
    <t>Krapp-Schickel, T (corresponding author), Forschungsinst &amp; Museum A Koenig, Bonn, Germany.</t>
  </si>
  <si>
    <t>traudl.krapp@uni-bonn.de; stefan.koenemann@tiho-hannover.de</t>
  </si>
  <si>
    <t>NATURALIS BIODIVERSITY CENTER</t>
  </si>
  <si>
    <t>LEIDEN</t>
  </si>
  <si>
    <t>DARWINWEG 2, LEIDEN, 2333 CR, NETHERLANDS</t>
  </si>
  <si>
    <t>1383-4517</t>
  </si>
  <si>
    <t>1875-9866</t>
  </si>
  <si>
    <t>CONTRIB ZOOL</t>
  </si>
  <si>
    <t>Contrib. Zool.</t>
  </si>
  <si>
    <t>3-4</t>
  </si>
  <si>
    <t>10.1163/18759866-0750304006</t>
  </si>
  <si>
    <t>Zoology</t>
  </si>
  <si>
    <t>122HZ</t>
  </si>
  <si>
    <t>Green Submitted</t>
  </si>
  <si>
    <t>WOS:000243218000006</t>
  </si>
  <si>
    <t>Bauer, T; Dowling, RK</t>
  </si>
  <si>
    <t>Dowling, RK</t>
  </si>
  <si>
    <t>Bauer, Thomas; Dowling, Ross K.</t>
  </si>
  <si>
    <t>The Antarctic Cruise Industry</t>
  </si>
  <si>
    <t>CRUISE SHIP TOURISM</t>
  </si>
  <si>
    <t>TOURISM</t>
  </si>
  <si>
    <t>[Bauer, Thomas] Hong Kong Polytech Univ, Sch Hotel &amp; Tourism Management, Kowloon, Hong Kong, Peoples R China; [Dowling, Ross K.] Edith Cowan Univ, Fac Business &amp; Law, Sch Mkt Tourism &amp; Leisure, Joondalup, WA 6027, Australia</t>
  </si>
  <si>
    <t>Hong Kong Polytechnic University; Edith Cowan University</t>
  </si>
  <si>
    <t>Bauer, T (corresponding author), Hong Kong Polytech Univ, Sch Hotel &amp; Tourism Management, Kowloon, Hong Kong, Peoples R China.</t>
  </si>
  <si>
    <t>arthurasaberger@gmail.com; r.dowling@ecu.edu.au</t>
  </si>
  <si>
    <t>Dowling, Ross/IWE-2893-2023</t>
  </si>
  <si>
    <t>CABI PUBLISHING-C A B INT</t>
  </si>
  <si>
    <t>WALLINGFORD</t>
  </si>
  <si>
    <t>CABI PUBLISHING, WALLINGFORD 0X10 8DE, OXON, ENGLAND</t>
  </si>
  <si>
    <t>978-1-84593-048-6</t>
  </si>
  <si>
    <t>10.1079/9781845930486.0195</t>
  </si>
  <si>
    <t>10.1079/9781845930486.0000</t>
  </si>
  <si>
    <t>Hospitality, Leisure, Sport &amp; Tourism</t>
  </si>
  <si>
    <t>Book Citation Index – Social Sciences &amp; Humanities (BKCI-SSH)</t>
  </si>
  <si>
    <t>Social Sciences - Other Topics</t>
  </si>
  <si>
    <t>BWA98</t>
  </si>
  <si>
    <t>WOS:000293332800021</t>
  </si>
  <si>
    <t>Vána, J; Gremmen, N</t>
  </si>
  <si>
    <t>Checklist of the-hepatic flora of sub-Antarctic Iles Kerguelen</t>
  </si>
  <si>
    <t>CRYPTOGAMIE BRYOLOGIE</t>
  </si>
  <si>
    <t>Hepaticae; checklist; Antarctic; Iles Kerguelen</t>
  </si>
  <si>
    <t>A checklist of the hepatics of Iles Kerguelen (49 degrees S, 70 degrees E) is presented, based on literature, and on recent collections by N.J.M. Gremmen and R.S. Poulsen. A total of 37 species are listed, of which five are new records for the archipelago.</t>
  </si>
  <si>
    <t>Charles Univ, Dept Bot, CZ-12801 Prague 2, Czech Republic; Dept Biol Polar Ecol, Limnol &amp; Paleoecol Unit, B-2020 Antwerp, Belgium; Data Anal Ecol, NL-7981 CD Diever, Netherlands</t>
  </si>
  <si>
    <t>Charles University Prague</t>
  </si>
  <si>
    <t>Vána, J (corresponding author), Charles Univ, Dept Bot, Benatska 2, CZ-12801 Prague 2, Czech Republic.</t>
  </si>
  <si>
    <t>vana@natur.cuni.cz</t>
  </si>
  <si>
    <t>Váňa, Jiří/I-5979-2016</t>
  </si>
  <si>
    <t>ADAC-CRYPTOGAMIE</t>
  </si>
  <si>
    <t>PARIS</t>
  </si>
  <si>
    <t>12 RUE DE BUFFON, 75005 PARIS, FRANCE</t>
  </si>
  <si>
    <t>1290-0796</t>
  </si>
  <si>
    <t>CRYPTOGAMIE BRYOL</t>
  </si>
  <si>
    <t>Cryptogam. Bryol.</t>
  </si>
  <si>
    <t>Plant Sciences</t>
  </si>
  <si>
    <t>011AL</t>
  </si>
  <si>
    <t>WOS:000235239900011</t>
  </si>
  <si>
    <t>S</t>
  </si>
  <si>
    <t>Raymond, B; Belbin, L</t>
  </si>
  <si>
    <t>Williams, GJ; Simoff, SJ</t>
  </si>
  <si>
    <t>Visualisation and exploration of scientific data using graphs</t>
  </si>
  <si>
    <t>DATA MINING: THEORY, METHODOLOGY, TECHNIQUES, AND APPLICATIONS</t>
  </si>
  <si>
    <t>Lecture Notes in Artificial Intelligence</t>
  </si>
  <si>
    <t>PATTERNS</t>
  </si>
  <si>
    <t>We present a prototype application for graph-based exploration and mining of online databases, with particular emphasis on scientific data. The application builds structured graphs that allow the user to explore patterns in a data set, including clusters, trends, outliers, and relationships. A number of different graphs can be rapidly generated, giving complementary insights into a given data set. The application has a Flash-based graphical interface and uses semantic information from the data sources to keep this interface as intuitive as possible. Data can be accessed from local and remote databases and files. Graphs can be explored using an interactive visual browser, or graph-analytic algorithms. We demonstrate the approach using marine sediment data, and show that differences in benthic species compositions in two Antarctic bays are related to heavy metal contamination.</t>
  </si>
  <si>
    <t>Australian Antarctic Div, Australian Govt, Dept Environm &amp; Heritage, Kingston, Tas 7050, Australia</t>
  </si>
  <si>
    <t>Raymond, B (corresponding author), Australian Antarctic Div, Australian Govt, Dept Environm &amp; Heritage, Channel Highway, Kingston, Tas 7050, Australia.</t>
  </si>
  <si>
    <t>ben.raymond@aad.gov.au</t>
  </si>
  <si>
    <t>SPRINGER-VERLAG BERLIN</t>
  </si>
  <si>
    <t>BERLIN</t>
  </si>
  <si>
    <t>HEIDELBERGER PLATZ 3, D-14197 BERLIN, GERMANY</t>
  </si>
  <si>
    <t>0302-9743</t>
  </si>
  <si>
    <t>1611-3349</t>
  </si>
  <si>
    <t>3-540-32547-6</t>
  </si>
  <si>
    <t>LECT NOTES ARTIF INT</t>
  </si>
  <si>
    <t>Computer Science, Artificial Intelligence</t>
  </si>
  <si>
    <t>Computer Science</t>
  </si>
  <si>
    <t>BEB23</t>
  </si>
  <si>
    <t>WOS:000236545100002</t>
  </si>
  <si>
    <t>Bergstrom, JH; Bowers, RA; Stroup, WE</t>
  </si>
  <si>
    <t>Belanger, DO</t>
  </si>
  <si>
    <t>Bergstrom, James H.; Bowers, Richard A.; Stroup, William E.</t>
  </si>
  <si>
    <t>COMPREHENDING THE COLD Antarctic Weather Quest</t>
  </si>
  <si>
    <t>DEEP FREEZE: THE UNITED STATES, THE INTERNATIONAL GEOPHYSICAL YEAR, AND THE ORIGINS OF ANTARCTICA'S AGE OF SCIENCE</t>
  </si>
  <si>
    <t>UNIV PRESS COLORADO</t>
  </si>
  <si>
    <t>BOULDER</t>
  </si>
  <si>
    <t>5589 ARAPAHOE AVE, STE 206C, BOULDER, CO 80303 USA</t>
  </si>
  <si>
    <t>978-1-60732-066-1</t>
  </si>
  <si>
    <t>History &amp; Philosophy Of Science</t>
  </si>
  <si>
    <t>Book Citation Index – Science (BKCI-S)</t>
  </si>
  <si>
    <t>History &amp; Philosophy of Science</t>
  </si>
  <si>
    <t>BYN79</t>
  </si>
  <si>
    <t>WOS:000299464500013</t>
  </si>
  <si>
    <t>Green, SE; Sambrotto, RN</t>
  </si>
  <si>
    <t>Net community production in terms of C, N, P and Si in the Antarctic Circumpolar Current and its influence on regional water mass characteristics</t>
  </si>
  <si>
    <t>DEEP-SEA RESEARCH PART I-OCEANOGRAPHIC RESEARCH PAPERS</t>
  </si>
  <si>
    <t>net community production; carbon; nitrogen; phosphorus; silica; Southern Ocean; Antarctic Circumpolar Current</t>
  </si>
  <si>
    <t>POLAR FRONTAL ZONE; DISSOLVED INORGANIC CARBON; SOUTHERN-OCEAN SOUTH; PACIFIC SECTOR; ROSS SEA; SURFACE CHLOROPHYLL; INTERMEDIATE WATER; NUTRIENT DEPLETION; SEASONAL EVOLUTION; NORTH PACIFIC</t>
  </si>
  <si>
    <t>The net impact of biological production and regeneration (Net Community Production) on surface water dissolved inorganic carbon, nitrogen, phosphorus, and silica (NCPDIC, NCPDIN, NCPPO4, and NCPSi(OH)4, respectively) were evaluated from nutrient data collected in the Antarctic Circumpolar Current (ACC) along 170 degrees W between October 1997 and March 1998. Budgets were constructed in zonal bands that subdivided the ACC into a southern, seasonally ice-covered region, and three northern, and increasingly less stratified regions. Frontal positions, air-sea gas exchange, divergent Ekman flow, and meridional nutrient gradients were tracked through time to isolate biological change. The budget resolved the southerly progression of peak productivity with time in conjunction with the retreating ice-edge and the change from a production-dominated to a respiration-dominated system. Seasonal values of NCPDIC, NCPDIN, NCPO4,NCPSi(OH)4 from north of the Antarctic Polar Front (APF) to the South Antarctic Circumpolar Front (SACCF) along 170 degrees W averaged 2.6, 0.27, 0.02, and 1.9 mol m(-2), respectively. The influx of atmospheric CO2 was a significant component (20-38%) of NCPDIC and varied from 6.8 to 12.8 g C m(-2) season(-1) across the region because of high winds in the north, and large surface pCO(2) deficits in the south. Although seasonal NCPDIC was fairly uniform across the region, NCPDIN was about 1.5x greater, and NCPSi(OH)4 was 2x greater south of the APF compared to north of it. The present zonal pattern of NCPSi(OH)4 differs from that suggested previously, in that we estimate greater production north of the APF and near the SACCF and relatively less just south of the APF, mainly because of the inclusion of a seasonally variable horizontal flux in the present analysis. In each sub-region, peak rates of NCPDIN and NCPPO4 preceded those of NCPDIC and NCPSi(OH)4. Peak diatom growth periods exhibited NCPDIN/NCPPO4 ratios (11-14) well below Redfield values. In addition, more rapid remineralization of phosphorus, and to a lesser extend nitrogen, as compared to carbon and silica were apparent late in the season. Increases in the NCPSi(OH)4/NCPDIN ratio through time were consistent with intensifying iron limitation south of the APF. The inter-nutrient comparisons highlight the functional differences among nutrient fluxes, in that, nutrients with relatively low surface remineralization like silicic acid are dependent on meridional transport to replenish surface pools, while surface pools of rapidly recycled nutrients, such as phosphate, can be replenished mainly by vertical mixing in winter. We suggest that biological processes in the Pacific ACC region play an important role in lowering the N/P ratio of the Antarctic Intermediate Water (AAIW). (c) 2005 Elsevier Ltd. All rights reserved.</t>
  </si>
  <si>
    <t>Columbia Univ, Lamont Doherty Earth Observ, Palisades, NY 10964 USA</t>
  </si>
  <si>
    <t>Columbia University</t>
  </si>
  <si>
    <t>Columbia Univ, Lamont Doherty Earth Observ, 61 Route 9W, Palisades, NY 10964 USA.</t>
  </si>
  <si>
    <t>PERGAMON-ELSEVIER SCIENCE LTD</t>
  </si>
  <si>
    <t>THE BOULEVARD, LANGFORD LANE, KIDLINGTON, OXFORD OX5 1GB, ENGLAND</t>
  </si>
  <si>
    <t>0967-0637</t>
  </si>
  <si>
    <t>1879-0119</t>
  </si>
  <si>
    <t>DEEP-SEA RES PT I</t>
  </si>
  <si>
    <t>Deep-Sea Res. Part I-Oceanogr. Res. Pap.</t>
  </si>
  <si>
    <t>10.1016/j.dsr.2005.04.008</t>
  </si>
  <si>
    <t>Oceanography</t>
  </si>
  <si>
    <t>014JY</t>
  </si>
  <si>
    <t>WOS:000235477300008</t>
  </si>
  <si>
    <t>Padman, L; Howard, S; Muench, R</t>
  </si>
  <si>
    <t>Internal tide generation along the South Scotia Ridge</t>
  </si>
  <si>
    <t>DEEP-SEA RESEARCH PART II-TOPICAL STUDIES IN OCEANOGRAPHY</t>
  </si>
  <si>
    <t>International Conference on Ocean Mixing</t>
  </si>
  <si>
    <t>OCT 11-14, 2004</t>
  </si>
  <si>
    <t>Victoria, CANADA</t>
  </si>
  <si>
    <t>baroclinic tides; tidal modeling; turbulent mixing; sea ice</t>
  </si>
  <si>
    <t>WESTERN WEDDELL SEA; HAWAIIAN RIDGE; ICE MOTION; OCEAN; MODEL; DEFORMATION; DISSIPATION; ACCURACY; ENERGY; DRIFT</t>
  </si>
  <si>
    <t>The generation of semidiurnal internal tides along the South Scotia Ridge (SSR)-the boundary between the northern Weddell Sea and the Scotia Sea-is investigated using a fully three-dimensional primitive equation numerical model. The sensitivity of the model to changes in horizontal and vertical grid spacing, stratification.. and choice of bathymetric data set is discussed. The highest resolution model (1/16 degrees x 1/25 degrees x 41 levels) with realistic stratification produces an average along-ridge lateral baroclinic M-2 energy flux magnitude vertical bar J(M-2)vertical bar approximate to 160 W m(-1) for the section of the SSR between the tip of the Antarctic Peninsula and the South Orkney Plateau. This value is &lt; 1 % of the flux obtained with a lower-resolution global baroclinic tides model run with stratification representative of mid-latitudes (Simmons et al., Internal wave generation in a global baroclinic tide model. 2004. Deep-Sea Research II 51, 3043-3068). Our results indicate that baroclinic tidal energy will not be an important contributor to mixing in the pycnocline in the SSR region. However, the addition of baroclinic tides significantly increases the predicted root-mean-square horizontal divergence of the surface tidal current fields (sigma(del(H) . u(t))), with consequences for the annual cycle of sea-ice formation and melt and the upper-ocean thermohaline structure. Peak values of sigma(del(H) . u(t)) along the ridge, for M-2 only, correspond to a tidal contribution of &gt; 10% to time-averaged open-water fraction. Thus, baroclinic tides may play a significant role in setting mean heat and freshwater exchange and ice formation in the northern Weddell Sea. (c) 2006 Elsevier Ltd. All rights reserved.</t>
  </si>
  <si>
    <t>Earth &amp; Space Res, Corvallis, OR 97333 USA; Earth &amp; Space Res, Seattle, WA 98102 USA</t>
  </si>
  <si>
    <t>Padman, L (corresponding author), Earth &amp; Space Res, 3350 SW Castle Ave, Corvallis, OR 97333 USA.</t>
  </si>
  <si>
    <t>padman@esr.org</t>
  </si>
  <si>
    <t>Padman, Laurence/AAH-3808-2021</t>
  </si>
  <si>
    <t>Padman, Laurence/0000-0003-2010-642X; Howard, Susan/0000-0002-9183-0178</t>
  </si>
  <si>
    <t>0967-0645</t>
  </si>
  <si>
    <t>DEEP-SEA RES PT II</t>
  </si>
  <si>
    <t>Deep-Sea Res. Part II-Top. Stud. Oceanogr.</t>
  </si>
  <si>
    <t>10.1016/j.dsr2.2005.07.011</t>
  </si>
  <si>
    <t>029MD</t>
  </si>
  <si>
    <t>WOS:000236566100012</t>
  </si>
  <si>
    <t>Gende, SM; Sigler, MF</t>
  </si>
  <si>
    <t>Gende, Scott M.; Sigler, Michael F.</t>
  </si>
  <si>
    <t>Persistence of forage fish 'hot spots' and its association with foraging Steller sea lions (Eumetopias jubatus) southeast Alaska</t>
  </si>
  <si>
    <t>13th Annual Meeting of the North-Pacific-Marine-Science-Organization (PICES)</t>
  </si>
  <si>
    <t>OCT 14-24, 2004</t>
  </si>
  <si>
    <t>Honolulu, HI</t>
  </si>
  <si>
    <t>Steller sea lions; herring; hot spot persistence; foraging effort</t>
  </si>
  <si>
    <t>HERRING CLUPEA-HARENGUS; ANTARCTIC FUR SEALS; ARCTOCEPHALUS-GAZELLA; SPATIAL-DISTRIBUTION; MARINE PREDATOR; PREY; PREDICTABILITY; AGGREGATIONS; ALBATROSSES; STRATEGIES</t>
  </si>
  <si>
    <t>Whereas primary and secondary productivity at oceanic 'hotspots' may be a function of upwelling and temperature fronts, the aggregation of higher-order vertebrates is a function of their ability to search for and locate these areas. Thus, understanding how predators aggregate at these productive foraging areas is germane to the study of oceanic hot spots. We examined the spatial distribution of forage fish in southeast Alaska for three years to better understand Steller sea lion (Eumetopias jubatus) aggregations and foraging behavior. Energy densities (millions KJ/km(2)) of forage fish were orders of magnitude greater during the winter months (November-February), due to the presence of schools of overwintering Pacific herring (Clupea pallasi). Within the winter months, herring consistently aggregated at a few areas, and these areas persisted throughout the season and among years. Thus, our study area was characterized by seasonally variable, highly abundant but highly patchily distributed forage fish hot spots. More importantly, the persistence of these forage fish hot spots was an important characteristic in determining whether foraging sea lions utilized them. Over 40% of the variation in the distribution of sea lions on our surveys was explained by the persistence of forage fish hot spots. Using a simple spatial model, we demonstrate that when the density of these hot spots is low, effort necessary to locate these spots is minimized when those spots persist through time. In contrast, under similar prey densities but lower persistence, effort increases dramatically. Thus an important characteristic of pelagic hot spots is their persistence, allowing predators to predict their locations and concentrate search efforts accordingly. (c) 2006 Elsevier Ltd. All rights reserved.</t>
  </si>
  <si>
    <t>Natl Pk Serv, Coastal Program, Juneau, AK 99801 USA; NOAA, Natl Marine Fisheries Serv, Alaska Fisheries Sci Ctr, Juneau, AK 99801 USA</t>
  </si>
  <si>
    <t>United States Department of the Interior; National Aeronautics &amp; Space Administration (NASA); National Oceanic Atmospheric Admin (NOAA) - USA</t>
  </si>
  <si>
    <t>Gende, SM (corresponding author), Natl Pk Serv, Coastal Program, Glacier Bay Field Stn,3100 Natl Pk Rd, Juneau, AK 99801 USA.</t>
  </si>
  <si>
    <t>scott_gende@nps.gov; Mike.Sigler@noaa.gov</t>
  </si>
  <si>
    <t>10.1016/j.dsr2.2006.01.005</t>
  </si>
  <si>
    <t>066AO</t>
  </si>
  <si>
    <t>WOS:000239201900013</t>
  </si>
  <si>
    <t>Daniels, RM; Richardson, TL; Ducklow, HW</t>
  </si>
  <si>
    <t>Daniels, Robert M.; Richardson, Tammi L.; Ducklow, Hugh W.</t>
  </si>
  <si>
    <t>Food web structure and biogeochemical processes during oceanic phytoplankton blooms: An inverse model analysis</t>
  </si>
  <si>
    <t>food web models; inverse models; plankton; Antarctica; Palmer LTER; North Atlantic</t>
  </si>
  <si>
    <t>EQUATORIAL PACIFIC; BIOGENIC CARBON; ORGANIC-MATTER; SEASONAL VARIABILITY; PRIMARY PRODUCTIVITY; EUPHAUSIA-SUPERBA; EUPHOTIC ZONE; SPRING BLOOM; ATLANTIC; FLUX</t>
  </si>
  <si>
    <t>The relationship between food web structure and function across two ocean biomes was investigated using an inverse method to recover solutions of food web carbon flows. We estimated the carbon exchanges between major assemblages within plankton food webs in the North Atlantic, using the JGOFS NABE data set (1989) and near the Western Antarctic Peninsula (WAP), using the Palmer Station LTER data set, two areas exhibiting strong seasonal phytoplankton blooms. The recovery of all the potential flows of carbon allowed a system-level analysis, providing insight to processes that are seldom measured in the field and a means of comparing food webs from different regions. In the NABE food web, the dominant carbon flows involved the microorganisms including bacterial carbon demand and grazing by microzooplankton and protozoans. In the WAP food web, krill had the most significant carbon flows including grazing of large phytoplankton and respiration. A comparison between the NABE and the WAP carbon-based food webs showed key differences. Recycling and the activity of the microbial food web were much greater in the NABE food web than in the WAP. However in the WAP inverse solution, the microbial food web was just as important as the classical food web (diatoms to krill to penguins) that is traditionally believed to dominate carbon flows. Carbon flows through the NABE and WAP regions were more highly dependent on recycling than would be anticipated from the size structure of the primary producers, when analyzed using a classification scheme of Legendre, L., Rassoulzadegan, F [1996. Food-web mediated export of biogenic carbon in oceans: hydrodynamic control. Marine Ecology Progress Series 145, 179-193]. (c) 2006 Elsevier Ltd. All rights reserved.</t>
  </si>
  <si>
    <t>Coll William &amp; Mary, Sch Marine Sci, Gloucester Point, VA 23062 USA; Texas A&amp;M Univ, Dept Oceanog, College Stn, TX 77843 USA</t>
  </si>
  <si>
    <t>William &amp; Mary; Texas A&amp;M University System; Texas A&amp;M University College Station</t>
  </si>
  <si>
    <t>Ducklow, HW (corresponding author), Coll William &amp; Mary, Sch Marine Sci, POB 1346, Gloucester Point, VA 23062 USA.</t>
  </si>
  <si>
    <t>duck@vims.edu</t>
  </si>
  <si>
    <t>Richardson, Tammi/ABB-4163-2021</t>
  </si>
  <si>
    <t>Richardson, Tammi/0000-0002-0667-3455</t>
  </si>
  <si>
    <t>1879-0100</t>
  </si>
  <si>
    <t>5-7</t>
  </si>
  <si>
    <t>10.1016/j.dsr2.2006.01.016</t>
  </si>
  <si>
    <t>067EX</t>
  </si>
  <si>
    <t>WOS:000239285700004</t>
  </si>
  <si>
    <t>Mongin, M; Nelson, DM; Pondaven, P; Tréguer, P</t>
  </si>
  <si>
    <t>Mongin, Mathieu; Nelson, David M.; Pondaven, Philippe; Treguer, Paul</t>
  </si>
  <si>
    <t>Simulation of upper-ocean biogeochemistry with a flexible-composition phytoplankton model:: C, N and Si cycling and Fe limitation in the Southern Ocean</t>
  </si>
  <si>
    <t>HNLC; Fe; grazing; Phytoplankton; elemental ratio; Redfield ratio</t>
  </si>
  <si>
    <t>ANTARCTIC POLAR FRONT; SUB-ARCTIC PACIFIC; EQUATORIAL PACIFIC; ECOSYSTEM MODEL; INTERANNUAL VARIABILITY; STATION KERFIX; MARINE-PHYTOPLANKTON; DIATOM GROWTH; DISSOLVED FE; SILICIC-ACID</t>
  </si>
  <si>
    <t>We previously reported the application of an upper-ocean biogeochemical model in which the elemental composition of the phytoplankton is flexible and responds to changes in light and nutrient availability [Mongin, M., Nelson, D., Pondaven, P., Brzezinski, M., Treguer, P., 2003. Simulation of upper-ocean biogeochemistry with a flexible-composition phytoplankton model: C, N and Si cycling in the western Sargasso Sea. Deep-Sea Research 150, 1445-1480]. That model, applied in the western Sargasso Sea, considered the cycles of C, N and Si in the upper 400m and limitation of phytoplankton growth by N, Si and light. We now report a new version of this model that includes Fe cycling and Fe limitation and its application in the Southern Ocean. The model includes two phytoplankton groups, diatoms and non-siliceous forms. Uptake of NO3- by phytoplankton is light dependent, but NH4+, Si(OH)(4) and Fe uptake are not and can therefore continue through the night. The model tracks the resulting C/N and Fe/C ratios of both groups and Si/N ratio of diatoms, and permits uptake of C, N, Fe and Si to proceed independently when those ratios are close to those of nutrient-replete phytoplankton. When they indicate a deficiency cellular C, N, Fe or Si, uptake of the non-limiting elements is controlled by the content of the limiting element in accordance with the cell-quota formulation of [Droop, M., 1974. The nutrient status of algal cell in continuous culture. Journal of the Marine Biological Association of the United Kingdom 54, 825-855]. The model thus identifies the growth-limiting element and quantifies the degree of limitation from the elemental composition of the phytoplankton. We applied this model at the French KERFIX site in the Indian Ocean sector of the Southern Ocean, using meteorological forcing for that site from 1991 to 1995. As in the Sargasso Sea application, the flexible-composition structure provides simulations that are consistent with field data with only minimal tuning of model parameters. The model reproduces the high-nutrient, low-chlorophyll (HNLC) conditions observed at the KERFIX using much lower and more realistic grazing loss terms than those used in KERFIX simulations that do not include Fe limitation. Cellular Fe/C ratios indicate that both diatoms and non-siliceous phytoplankton are strongly limited by interaction between Fe limitation and low irradiance throughout most of the year in these simulations, with grazing a significant secondary factor. (c) 2006 Elsevier Ltd. All rights reserved.</t>
  </si>
  <si>
    <t>Oregon State Univ, Coll Ocean &amp; Atmospher Sci, Corvallis, OR 97311 USA; European Univ Inst, UMR 6539, CNRS, F-29280 Plouzane, France</t>
  </si>
  <si>
    <t>Oregon State University; Universite de Bretagne Occidentale; Centre National de la Recherche Scientifique (CNRS); CNRS - Institute of Ecology &amp; Environment (INEE); Ifremer; Institut de Recherche pour le Developpement (IRD)</t>
  </si>
  <si>
    <t>Mongin, M (corresponding author), CRC, ACE, Private Bag 80, Hobart, Tas 7001, Australia.</t>
  </si>
  <si>
    <t>mathieu.mongin@acecrc.org.au</t>
  </si>
  <si>
    <t>Treguer, Paul/H-6064-2012; mongin, mathieu/G-4169-2015</t>
  </si>
  <si>
    <t>mongin, mathieu/0000-0001-9647-0530; Pondaven, Philippe/0000-0002-3427-7767</t>
  </si>
  <si>
    <t>10.1016/j.dsr2.2006.01.021</t>
  </si>
  <si>
    <t>WOS:000239285700007</t>
  </si>
  <si>
    <t>Green, Sara E.; Sambrotto, Raymond N.</t>
  </si>
  <si>
    <t>Plankton community structure and export of C, N, P and Si in the Antarctic Circumpolar Current</t>
  </si>
  <si>
    <t>Southern Ocean; nitrogen; silica; carbon; phosphorus; phytoplankton community</t>
  </si>
  <si>
    <t>PARTICULATE ORGANIC-CARBON; SOUTHERN ROSS SEA; POLAR FRONT REGION; PACIFIC SECTOR; PHYTOPLANKTON BIOMASS; PARTICLE FLUXES; INTERANNUAL VARIABILITY; PRIMARY PRODUCTIVITY; NITROGEN-PRODUCTION; ATLANTIC SECTOR</t>
  </si>
  <si>
    <t>We analyzed the relationship between the estimated export (e(i)) of carbon, nitrogen, silica and phosphorus from the surface similar to 90m in the Antarctic Circumpolar Current (ACC) region along 170 degrees W and the seasonal development of the epipelagic community. Export was based on nutrient budgets from repeat sections during the 1997-1998 austral summer to estimate nutrient specific, net community production (NCPi; Green and Sambrotto, 2006). We adjusted NCPi for changes in surface-water particulate material and dissolved organic matter to isolate ei on an approximately monthly basis in four meridional regimes. Estimates. of e(C), e(N) and e(Si) from October to March ranged from 1.9-2.7, 0.11-0.34 and 1.0-2.7 moles m(-2) season. Although the meridional trends in our export estimates were similar to previously published trends that suggest an increase in carbon export south of the front, our estimates north of the front were about 30% higher than prior estimates in the region. Typically, the peak of e(N) (arid e(p)) was 4-6 weeks before that for e(Si) and e(C). The lag between e(N) and e(C) was similar to the, lag between new production and Th-234-based ec in the region as well as similar lags found in upwelling water of the equatorial Pacific and the Arabian Sea. We suggest that this lag is characteristic of physically perturbed regions and reflects the temporal development of the grazing community, a time scale that appears to vary little, despite a 20 degrees C difference in temperature. Based on pigment markers and direct microscopic analyses, the growth of heavily silicified Fragilariopsis spp. south of the Antarctic Polar Front (APF) was associated with a rapid increase in e(Si) in December as the ice retreated. However, elevated ec continued at high levels as the diatom community disappeared (particularly in the north). Later successional forms such as Chaetoceros spp. and Corethron spp. appeared to enhance ec by facilitating aggregation. Thus, the seasonal pattern of ec in the ACC was impacted by the nature of the diatom community and was not a simple function of total opal concentration. This aggregator community promoted elevated ec even at relatively low concentrations of diatoms north of the APF. The pigment markers also reflected other important environmental associations including dinoflagellates with the APF and Phaeocystis with the melt water from the retreating ice. Export ratios deviate from Redfield and suggest a combination of environmental and taxonomic influences. Diatom growth early in the season was associated with low e(N)/e(p) ratios and the depletion of iron in January was associated with elevated e(Si)/e(N) ratios. (c) 2006 Elsevier Ltd. All rights reserved.</t>
  </si>
  <si>
    <t>Green, SE (corresponding author), Columbia Univ, Lamont Doherty Earth Observ, 61 Route 9W, Palisades, NY 10964 USA.</t>
  </si>
  <si>
    <t>sgreen4@lsu.edu; sambrott@ldeo.columbia.edu</t>
  </si>
  <si>
    <t>10.1016/j.dsr2.2006.01.022</t>
  </si>
  <si>
    <t>WOS:000239285700008</t>
  </si>
  <si>
    <t>Carr, ME; Friedrichs, MAM; Schmeltz, M; Aita, MN; Antoine, D; Arrigo, KR; Asanuma, I; Aumont, O; Barber, R; Behrenfeld, M; Bidigare, R; Buitenhuis, ET; Campbell, J; Ciotti, A; Dierssen, H; Dowell, M; Dunne, J; Esaias, W; Gentili, B; Gregg, W; Groom, S; Hoepffner, N; Ishizaka, J; Kameda, T; Le Quéré, C; Lohrenz, S; Marra, J; Mélin, F; Moore, K; Morel, A; Reddy, TE; Ryan, J; Scardi, M; Smyth, T; Turpie, K; Tilstone, G; Waters, K; Yamanaka, Y</t>
  </si>
  <si>
    <t>Carr, Mary-Elena; Friedrichs, Marjorie A. M.; Schmeltz, Marjorie; Aita, Maki Noguchi; Antoine, David; Arrigo, Kevin R.; Asanuma, Ichio; Aumont, Olivier; Barber, Richard; Behrenfeld, Michael; Bidigare, Robert; Buitenhuis, Erik T.; Campbell, Janet; Ciotti, Aurea; Dierssen, Heidi; Dowell, Mark; Dunne, John; Esaias, Wayne; Gentili, Bernard; Gregg, Watson; Groom, Steve; Hoepffner, Nicolas; Ishizaka, Joji; Kameda, Takahiko; Le Quere, Corinne; Lohrenz, Steven; Marra, John; Melin, Frederic; Moore, Keith; Morel, Andre; Reddy, Tasha E.; Ryan, John; Scardi, Michele; Smyth, Tim; Turpie, Kevin; Tilstone, Gavin; Waters, Kirk; Yamanaka, Yasuhiro</t>
  </si>
  <si>
    <t>A comparison of global estimates of marine primary production from ocean color</t>
  </si>
  <si>
    <t>SATELLITE CHLOROPHYLL; BIOOPTICAL PROPERTIES; MODEL; PHYTOPLANKTON; PHOTOSYNTHESIS; BIOSPHERE; GROWTH; WATERS; LIGHT; RATES</t>
  </si>
  <si>
    <t>The third primary production algorithm round robin (PPARR3) compares output from 24 models that estimate depth-integrated primary production from satellite measurements of ocean color, as well as seven general circulation models (GCMs) coupled with ecosystem or biogeochemical models. Here we compare the global primary production fields corresponding to eight months of 1998 and 1999 as estimated from common input fields of photosynthetically-available radiation (PAR), sea-surface temperature (SST), mixed-layer depth, and chlorophyll concentration. We also quantify the sensitivity of the ocean-color-based models to perturbations in their input variables. The pair-wise correlation between ocean-color models was used to cluster them into groups or related output, which reflect the regions and environmental conditions under which they respond differently. The groups do not follow model complexity with regards to wavelength or depth dependence, though they are related to the manner in which temperature is used to parameterize photosynthesis. Global average PP varies by a factor of two between models. The models diverged the most for the Southern Ocean, SST under 10 degrees C, and chlorophyll concentration exceeding 1 mg Chlm(-3). Based on the conditions under which the model results diverge most, we conclude that current ocean-color-based models are challenged by high-nutrient low-chlorophyll conditions, and extreme temperatures or chlorophyll concentrations. The GCM-based models predict comparable primary production to those based on ocean color: they estimate higher values in the Southern Ocean, at low SST, and in the equatorial band, while they estimate lower values in eutrophic regions (probably because the area of high chlorophyll concentrations is smaller in the GCMs). Further progress in primary production modeling requires improved understanding of the effect of temperature on photosynthesis and better parameterization of the maximum photosynthetic rate. (c) 2006 Elsevier Ltd. All rights reserved.</t>
  </si>
  <si>
    <t>CALTECH, Jet Propuls Lab, Pasadena, CA 91101 USA; Old Dominion Univ, Ctr Coastal Phys Oceanog, Norfolk, VA 23529 USA; Fontier Res Ctr Global Change, Ecosyst Change Res Program, Yokohama, Kanagawa 2360001, Japan; Oceanog Lab, F-06238 Villefranche Sur Mer, France; Stanford Univ, Dept Geophys, Stanford, CA 94305 USA; Tokyo Univ Informat Sci, Chiba 2658501, Japan; Univ Paris 06, Lab Oceanog Dynam &amp; Climatol, CNRS, MHNN,IRD, F-75252 Paris 05, France; Duke Univ, Marine Lab, Beaufort, NC 28516 USA; Oregon State Univ, Dept Bot &amp; Plant Pathol, Corvallis, OR 97331 USA; Univ Hawaii, Dept Oceanog, Honolulu, HI 96822 USA; Max Planck Inst Biogeochem, D-07701 Jena, Germany; Univ New Hampshire, Durham, NH 03824 USA; Univ Estadual Paulista, BR-11330900 Sao Paulo, Brazil; Univ Connecticut, Dept Marine Sci, Groton, CT 06340 USA; Joint Res Ctr, Inland &amp; Marine Waters Unit, I-21020 Ispra, Italy; NOAA, Geophys Fluid Dynam Lab, Princeton, NJ 08542 USA; NASA, Goddard Space Flight Ctr, Global Modeling &amp; Assimilat Off, Greenbelt, MD 20771 USA; Plymouth Marine Lab, Remote Sensing Grp, Plymouth PL1 3DH, Devon, England; Nagasaki Univ, Fac Fisheries, Nagasaki 8528521, Japan; Natl Res Inst Far Seas Fisheries, Grp Oceanog, Shizuoka 4248633, Japan; Univ E Anglia, Norwich NR4 7TJ, Norfolk, England; British Antarctic Survey, Norwich NR4 7TJ, Norfolk, England; Stennis Space Ctr, Dept Marine Sci, Stennis Space Ctr, MS 39529 USA; Lamont Doherty Earth Observ, Palisades, NY 10964 USA; Univ Calif Irvine, Irvine, CA 92697 USA; MBARI, Moss Landing, CA 95039 USA; Univ Roma Tor Vergata, Dept Biol, I-00133 Rome, Italy; NOAA, Coastal Serv Ctr, Charleston, SC 29405 USA; Coll William &amp; Mary, Virginia Inst Marine Sci, Gloucester Point, VA 23062 USA</t>
  </si>
  <si>
    <t>National Aeronautics &amp; Space Administration (NASA); NASA Jet Propulsion Laboratory (JPL); California Institute of Technology; Old Dominion University; Stanford University; Centre National de la Recherche Scientifique (CNRS); Institut de Recherche pour le Developpement (IRD); Sorbonne Universite; Duke University; Oregon State University; University of Hawaii System; Max Planck Society; University System Of New Hampshire; University of New Hampshire; Universidade Estadual Paulista; University of Connecticut; European Commission Joint Research Centre; EC JRC ISPRA Site; National Oceanic Atmospheric Admin (NOAA) - USA; National Aeronautics &amp; Space Administration (NASA); NASA Goddard Space Flight Center; Plymouth Marine Laboratory; Nagasaki University; Japan Fisheries Research &amp; Education Agency (FRA); University of East Anglia; UK Research &amp; Innovation (UKRI); Natural Environment Research Council (NERC); NERC British Antarctic Survey; National Aeronautics &amp; Space Administration (NASA); Columbia University; University of California System; University of California Irvine; Monterey Bay Aquarium Research Institute; University of Rome Tor Vergata; National Oceanic Atmospheric Admin (NOAA) - USA; William &amp; Mary; Virginia Institute of Marine Science</t>
  </si>
  <si>
    <t>Carr, ME (corresponding author), CALTECH, Jet Propuls Lab, 4800 Oak Grove Dr, Pasadena, CA 91101 USA.</t>
  </si>
  <si>
    <t>Mary-Elena.Carr@jpl.nasa.gov</t>
  </si>
  <si>
    <t>Groom, Steve/A-1355-2012; Le Quéré, Corinne/C-2631-2017; Yamanaka, Yasuhiro/H-7393-2012; Lohrenz, Steven/AAC-9151-2019; Scardi, Michele/AFL-8936-2022; Ciotti, Aurea Maria/M-9025-2019; Ishizaka, Joji/B-3587-2009; Ciotti, Aurea Maria/B-7188-2011; Aumont, Olivier/G-5207-2016; Antoine, David/C-3817-2013; Smyth, Tim/D-2008-2012; Dunne, John/F-8086-2012; Buitenhuis, Erik/A-7692-2012</t>
  </si>
  <si>
    <t>Le Quéré, Corinne/0000-0003-2319-0452; Yamanaka, Yasuhiro/0000-0003-3369-3248; Lohrenz, Steven/0000-0003-3811-2975; Scardi, Michele/0000-0003-0684-3941; Ciotti, Aurea Maria/0000-0001-7163-8819; Ciotti, Aurea Maria/0000-0001-7163-8819; Aumont, Olivier/0000-0003-3954-506X; Antoine, David/0000-0002-9082-2395; Smyth, Tim/0000-0003-0659-1422; Arrigo, Kevin/0000-0002-7364-876X; Ishizaka, Joji/0000-0003-0398-1572; Tilstone, Gavin/0000-0002-9347-1682; Ryan, John Phillip/0000-0001-7954-5369; Dunne, John/0000-0002-8794-0489; Buitenhuis, Erik/0000-0001-6274-5583; Friedrichs, Marjorie/0000-0003-2828-7595; Dowell, Mark/0000-0002-8009-6166; MELIN, FREDERIC/0000-0003-4381-682X</t>
  </si>
  <si>
    <t>Natural Environment Research Council [bas010013] Funding Source: researchfish; NERC [bas010013] Funding Source: UKRI</t>
  </si>
  <si>
    <t>Natural Environment Research Council(UK Research &amp; Innovation (UKRI)Natural Environment Research Council (NERC)); NERC(UK Research &amp; Innovation (UKRI)Natural Environment Research Council (NERC))</t>
  </si>
  <si>
    <t>10.1016/j.dsr2.2006.01.028</t>
  </si>
  <si>
    <t>Green Published</t>
  </si>
  <si>
    <t>WOS:000239285700013</t>
  </si>
  <si>
    <t>Clarke, A; Arntz, WE</t>
  </si>
  <si>
    <t>Clarke, Andrew; Arntz, Wolf E.</t>
  </si>
  <si>
    <t>An introduction to EASIZ (Ecology of the Antarctic Sea Ice Zone): An integrated programme of water column, benthos and bentho-pelagic coupling in the coastal environment of Antarctica</t>
  </si>
  <si>
    <t>adaptation; benthos; evolution; flux; ice; oceanography</t>
  </si>
  <si>
    <t>SUBLITTORAL EPIFAUNAL COMMUNITIES; KRILL EUPHAUSIA-SUPERBA; GLOBAL OCEAN FLUX; WEDDELL SEA; SPATIAL-DISTRIBUTION; PARTICLE-FLUX; SIGNY ISLAND; MARINE; PHYTOPLANKTON; BIODIVERSITY</t>
  </si>
  <si>
    <t>The EASIZ (Ecology of the Antarctic Sea Ice Zone) programme ran from 1994 to 2004, and involved over 150 scientists from more than 17 countries. The main scientific aim was an integrated study of the water column and benthos, linked by bentho-pelagic coupling, of the Antarctic continental shelf. Because water-column studies were well served by existing international programmes (SO-JGOFS, SO-GLOBEC) and national biological oceanographic programmes, EASIZ itself concentrated on the benthos and bentho-pelagic coupling. Work in the EASIZ programme has led to the overturning of some previous paradigms, for example that the Antarctic is species-poor, and replaced these with a revised picture linking the assemblage structure and population dynamics to the glacial-marine setting. The legacy of EASIZ is a wide-ranging reassessment of the diversity, history and ecology of the Antarctic benthos, the coupling of this system to water-column processes, and a fundamental revision of our view of physiological adaptation to temperature in polar marine organisms. (c) 2006 Elsevier Ltd. All rights reserved.</t>
  </si>
  <si>
    <t>British Antarctic Survey, NERC, Cambridge CB3 0ET, England;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</si>
  <si>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</si>
  <si>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Clarke, A (corresponding author), British Antarctic Survey, NERC, High Cross,Madingley Rd, Cambridge CB3 0ET, England.</t>
  </si>
  <si>
    <t>accl@bas.ac.uk</t>
  </si>
  <si>
    <t>NERC [bas010017] Funding Source: UKRI; Natural Environment Research Council [bas010017] Funding Source: researchfish</t>
  </si>
  <si>
    <t>NERC(UK Research &amp; Innovation (UKRI)Natural Environment Research Council (NERC)); Natural Environment Research Council(UK Research &amp; Innovation (UKRI)Natural Environment Research Council (NERC))</t>
  </si>
  <si>
    <t>8-10</t>
  </si>
  <si>
    <t>10.1016/j.dsr2.2006.05.001</t>
  </si>
  <si>
    <t>085OW</t>
  </si>
  <si>
    <t>WOS:000240614400001</t>
  </si>
  <si>
    <t>Ducklow, HW; Fraser, W; Karl, DM; Quetin, LB; Ross, RM; Smith, RC; Stammerjohn, SE; Vernet, M; Daniels, RM</t>
  </si>
  <si>
    <t>Ducklow, Hugh W.; Fraser, William; Karl, David M.; Quetin, Langdon B.; Ross, Robin M.; Smith, Raymond C.; Stammerjohn, Sharon E.; Vernet, Maria; Daniels, Robert M.</t>
  </si>
  <si>
    <t>Water-column processes in the West Antarctic Peninsula and the Ross Sea: Interannual variations and foodweb structure</t>
  </si>
  <si>
    <t>Antarctica; sea ice; LTER; foodwebs; particle flux; inverse model</t>
  </si>
  <si>
    <t>PARTICULATE ORGANIC-CARBON; SOUTHERN-OCEAN; PHAEOCYSTIS-POUCHETII; PHYTOPLANKTON BLOOMS; FECAL PELLETS; TOP PREDATORS; SPRING BLOOM; ICE EXTENT; FLUX; WEB</t>
  </si>
  <si>
    <t>The sea-ice zone of the Antarctic exhibits high rates of primary productivity and large interannual variability in plankton and biogeochemical properties, influenced by variations in the timing, extent and duration of sea-ice advance and retreat. In the past decade several interdisciplinary research programs conducted investigations in the sea ice zones of the West Antarctic Peninsula (WAP) and Ross Sea. In this article we synthesize results of these investigations to provide an overview of water-column processes influenced by regional-scale sea-ice dynamics. Primary production (PP) off the WAP varies by nearly an order of magnitude from year-to-year, and its interannual variability is related to the amount of open water within the annual ice pack. The annual sedimentation at 170 m averages about 2% of the overlying PP but is not related to interannual variations in the ice or PP. Rather the interannual variations in sedimentation are related to stocks of krill and salps. Plankton foodwebs in the Ross Sea and WAP exhibit similar annual PP but differ greatly in quantitative foodweb structure. Foodwebs of the WAP are dominated by krill grazing of spring-summer diatom blooms, whereas in the Ross Sea the extensive and early (November) bloom of Phaeocystis antarctica is not grazed and similar to 50% sinks as ungrazed cells. Foodweb reconstructions from inverse models suggest that some functional characteristics of foodwebs in the two regions are quite similar in spite of taxonomic contrasts. Relatively high rates of microbial processing and nutrient recycling characterize both systems, even during years in the WAP when PP differs by an order of magnitude. These similarities indicate broad functional similarities across contrasting foodweb composition in the sea-ice zone. (c) 2006 Elsevier Ltd. All rights reserved.</t>
  </si>
  <si>
    <t>Coll William &amp; Mary, Sch Marine Sci, Gloucester Point, VA 23062 USA; Polar Oceans Res Grp, Sheridan, MT USA; Univ Hawaii, Honolulu, HI 96822 USA; Univ Calif Santa Barbara, Santa Barbara, CA 93106 USA; Lamont Doherty Earth Observ, Palisades, NY USA; Univ Calif San Diego, Scripps Inst Oceanog, La Jolla, CA 92093 USA</t>
  </si>
  <si>
    <t>William &amp; Mary; University of Hawaii System; University of California System; University of California Santa Barbara; Columbia University; University of California System; University of California San Diego; Scripps Institution of Oceanography</t>
  </si>
  <si>
    <t>Ducklow, HW (corresponding author), Coll William &amp; Mary, Sch Marine Sci, Route 1326 Greate Rd Box 1326, Gloucester Point, VA 23062 USA.</t>
  </si>
  <si>
    <t>Karl, David/AFP-3837-2022</t>
  </si>
  <si>
    <t>STAMMERJOHN, SHARON/0000-0002-1697-8244; Karl, David/0000-0002-6660-6721</t>
  </si>
  <si>
    <t>10.1016/j.dsr2.2006.02.009</t>
  </si>
  <si>
    <t>WOS:000240614400003</t>
  </si>
  <si>
    <t>Barnes, DKA; Fuentes, V; Clarke, A; Schloss, IR; Wallace, MI</t>
  </si>
  <si>
    <t>Barnes, David K. A.; Fuentes, Veronica; Clarke, Andrew; Schloss, Irene R.; Wallace, Margaret I.</t>
  </si>
  <si>
    <t>Spatial and temporal variation in shallow seawater temperatures around Antarctica</t>
  </si>
  <si>
    <t>Southern Ocean; South Georgia; King George Island</t>
  </si>
  <si>
    <t>CLIMATE VARIABILITY; CONTINENTAL-SHELF; PENINSULA; PHYTOPLANKTON; MODEL; WEST; ICE; COMMUNITIES</t>
  </si>
  <si>
    <t>The variability of Southern Ocean sea-surface temperatures (SST) are important to understanding coastal biology yet are poorly known amongst biologists. We compare sea temperatures at a constant depth (10-20m) at coastal localities both sides of the Polar Front (PF), around the Scotia-Arc, the West Antarctic Peninsula and at high oceanic latitudes (around the margins of East Antarctica). We assess the wider context of these values by investigating minimum and maximum temperatures and ranges throughout the Southern Ocean using remotely sensed SST data. Data to date show weekly, daily and hourly variation in shallow sea temperature can be one-third of total annual variability (in the summer) but can be very constant (in winter). From comparison across scales in time and space, the strong seasonal signal is the most striking feature of Antarctic shallow. sea temperatures even at highest oceanic latitude sites. The winter sea temperatures at localities within the PF are similar (near freezing), but upper temperatures and thus the annual range vary predictably with latitude in a cline. This amounts to 0.2 degrees C annual range/100km of latitude between similar to 54 degrees S and 67 degrees S. The annual range in sea temperatures is little different at SubAntarctic islands, whether they are north or south of the PF. (c) 2006 Elsevier Ltd. All rights reserved.</t>
  </si>
  <si>
    <t>British Antarctic Survey, NERC, Cambridge CB3 0ET, England; Alfred Wegener Inst Polar &amp; Marine Res, D-2750 Bremerhaven, Germany; Inst Antartico Argentino, RA-1010 Buenos Aires, DF, Argentina; Consejo Nacl Invest Cient &amp; Tecn, RA-1033 Buenos Aires, DF, Argentina</t>
  </si>
  <si>
    <t>UK Research &amp; Innovation (UKRI); Natural Environment Research Council (NERC); NERC British Antarctic Survey; Helmholtz Association; Alfred Wegener Institute, Helmholtz Centre for Polar &amp; Marine Research; Instituto Antartico Argentino; Consejo Nacional de Investigaciones Cientificas y Tecnicas (CONICET)</t>
  </si>
  <si>
    <t>Barnes, DKA (corresponding author), British Antarctic Survey, NERC, High Cross,Madingley Rd, Cambridge CB3 0ET, England.</t>
  </si>
  <si>
    <t>Schloss, Irene R./U-5411-2018; Fuentes, Verónica L/K-7589-2014</t>
  </si>
  <si>
    <t>Schloss, Irene R./0000-0002-5917-8925; Fuentes, Verónica L/0000-0002-6380-0174</t>
  </si>
  <si>
    <t>NERC [bas010015, dml011000] Funding Source: UKRI; Natural Environment Research Council [bas010015, dml011000] Funding Source: researchfish</t>
  </si>
  <si>
    <t>10.1016/j.dsr2.2006.03.008</t>
  </si>
  <si>
    <t>WOS:000240614400004</t>
  </si>
  <si>
    <t>Smith, CR; Mincks, S; DeMaster, DJ</t>
  </si>
  <si>
    <t>Smith, Craig R.; Mincks, Sarah; DeMaster, David J.</t>
  </si>
  <si>
    <t>A synthesis of bentho-pelagic coupling on the Antarctic shelf: Food banks, ecosystem inertia and global climate change</t>
  </si>
  <si>
    <t>Antarctic shelf; bentho-pelagic coupling; organic carbon flux; climate change; food banks; benthos</t>
  </si>
  <si>
    <t>STAR ODONTASTER-VALIDUS; EASTERN WEDDELL SEA; ROSS SEA; MCMURDO SOUND; QUANTITATIVE INVESTIGATIONS; BIOCHEMICAL-COMPOSITION; INVERTEBRATE LARVAE; BRANSFIELD STRAIT; LOW-TEMPERATURE; ORGANIC-MATTER</t>
  </si>
  <si>
    <t>The Antarctic continental shelf is large, deep (500-1000 m), and characterized by extreme seasonality in sea-ice cover and primary production. Intense seasonality and short pelagic foodwebs on the Antarctic shelf may favor strong benthopelagic coupling, whereas unusual water depth combined with complex topography and circulation could cause such coupling to be weak. Here, we address six questions regarding the nature and strength of coupling between benthic and water-column processes on the continental shelf surrounding Antarctica. We find that water-column production is transmitted to the shelf floor in intense pulses of particulate organic matter, although these pulses are often difficult to correlate with local phytoplankton blooms or sea-ice conditions. On regional scales, benthic habitat variability resulting from substrate type, current regime, and iceberg scour often may obscure the imprint of water-column productivity on the seafloor. However, within a single habitat type, i.e. the muddy sediments that characterize much of the deep Antarctic shelf, macrobenthic biomass appears to be correlated with regional primary production and sea-ice duration. Over annual timescales, many benthic ecological processes were initially expected to vary in phase with the extraordinary boom/bust cycle of production in the water column. However, numerous processes, including sediment respiration, deposit feeding, larval development, and recruitment, often are poorly coupled to the summer bloom season. Several integrative, time-series studies on the Antarctic shelf suggest that this lack of phasing may result in part from the accumulation of a persistent sediment food bank that buffers the benthic ecosystem from the seasonal variability of the water column. As a consequence, a variety of benthic parameters (e.g., sediment respiration, inventories of labile organic matter, macrobenthic biomass) may act as low-pass filters, responding to longer-term (e.g., inter-annual) trends in water-column production. Bentho-pelagic coupling clearly will be altered by Antarctic climate change as patterns of sea-ice cover and water-column recycling vary. However, the nature of such climate-driven changes will be very difficult to predict without further studies of Antarctic benthic ecosystem response to (1) inter-annual variability in export flux, and (2) latitudinal gradients in duration of sea-ice cover and benthic ecosystem function. (c) 2006 Elsevier Ltd. All rights reserved.</t>
  </si>
  <si>
    <t>Univ Hawaii, Dept Oceanog, Honolulu, HI 96822 USA; N Carolina State Univ, Dept Marine Earth &amp; Atmospher Sci, Raleigh, NC 27695 USA</t>
  </si>
  <si>
    <t>University of Hawaii System; North Carolina State University</t>
  </si>
  <si>
    <t>Smith, CR (corresponding author), Univ Hawaii, Dept Oceanog, 1000 Pope Rd, Honolulu, HI 96822 USA.</t>
  </si>
  <si>
    <t>craigsmi@hawaii.edu</t>
  </si>
  <si>
    <t>Nerot, Caroline/C-6952-2009</t>
  </si>
  <si>
    <t>Mincks, Sarah/0000-0002-3328-712X</t>
  </si>
  <si>
    <t>10.1016/j.dsr2.2006.02.001</t>
  </si>
  <si>
    <t>WOS:000240614400006</t>
  </si>
  <si>
    <t>Suhr, SB; Pond, DW</t>
  </si>
  <si>
    <t>Suhr, Stephanie B.; Pond, D. W.</t>
  </si>
  <si>
    <t>Antarctic benthic foraminifera facilitate rapid cycling of phytoplankton-derived organic carbon</t>
  </si>
  <si>
    <t>benthic foraminifera; polyunsaturated fatty acids; phytodetritus; benthic food web; carbon cycle; Antarctic Peninsula</t>
  </si>
  <si>
    <t>POLYUNSATURATED FATTY-ACIDS; FOOD QUALITY; MARINE COMMUNITIES; TROPHIC STRUCTURE; ESSENTIAL LIPIDS; NE ATLANTIC; SEA; PHYTODETRITUS; NUTRITION; BACTERIA</t>
  </si>
  <si>
    <t>Fatty acid biomarker analyses of Cassidulina crassa, a dominant calcareous foraminieran at 55-m water depth in Arthur Harbor, Anvers Island (64 degrees 46'S, 64 degrees 04'W), Antarctica, revealed that this species responds rapidly to the deposition of fresh phytoplankton material from the overlying water column. During the sampling period in January/February 2002, a late summer phytoplankton bloom was clearly reflected in the fatty acid composition of C crassa. This was apparent in the significant short-term increase of the relative content in polyunsaturated fatty acids, which more than doubled within the short period of one week from just over 14% on 28/29 January to 32% on 6 February. C crassa feeds selectively on the high quality part of deposited organic matter, is highly abundant and widely distributed around the Antarctic, and has a wide bathymetric range. The present study shows that this species, like other, similar Antarctic benthic foraminiferal species such as Globocassidulina subglobosa, plays an important role in the rapid cycling of phytoplankton-derived organic carbon in Antarctic marine environments. (c) 2006 Elsevier Ltd. All rights reserved.</t>
  </si>
  <si>
    <t>Raytheon Polar Serv Co, Centennial, CO 80112 USA; British Antarctic Survey, NERC, Div Biol Sci, Cambridge CB3 0ET, England</t>
  </si>
  <si>
    <t>UK Research &amp; Innovation (UKRI); Natural Environment Research Council (NERC); NERC British Antarctic Survey</t>
  </si>
  <si>
    <t>Suhr, SB (corresponding author), Raytheon Polar Serv Co, 7400 S Tucson Way, Centennial, CO 80112 USA.</t>
  </si>
  <si>
    <t>stephanie.suhr@usap.gov</t>
  </si>
  <si>
    <t>Suhr, Steffi/0000-0001-7588-5673</t>
  </si>
  <si>
    <t>Natural Environment Research Council [bas010017] Funding Source: researchfish; NERC [bas010017] Funding Source: UKRI</t>
  </si>
  <si>
    <t>10.1016/j.dsr2.2006.02.002</t>
  </si>
  <si>
    <t>WOS:000240614400007</t>
  </si>
  <si>
    <t>Cope, T; Linse, K</t>
  </si>
  <si>
    <t>Cope, Therese; Linse, Katrin</t>
  </si>
  <si>
    <t>Morphological differences in Lissarca notorcadensis Melvill and Standen, 1907 from the Scotia, Weddell and Ross Seas</t>
  </si>
  <si>
    <t>polar; Lissarca notorcadensis; bivalve; latitudinal gradient; population; size</t>
  </si>
  <si>
    <t>BODY-SIZE; LATITUDINAL GRADIENTS; BATHYMETRIC PATTERNS; GROWTH; DIVERSITY; HISTORY; NORTH; PHILOBRYIDAE; DYNAMICS; BIVALVIA</t>
  </si>
  <si>
    <t>The isolated Southern Ocean has given rise to specially adapted, endemic species. The uniformity of physical conditions within the Southern Ocean south of the Polar Front is thought to limit latitudinal differences in shell size and growth of these species. The small bivalve Lissarca notorcadensis is one of the most successful colonisers with a wide circum-Antarctic distribution. We collected specimens from three areas of the Southern Ocean: the Scotia arc, the Weddell Sea and the Ross Sea and examined their shell morphometrics. The regression lines of the shell length/height relationships were similar. However, whilst specimens from the Weddell and Ross Sea were almost identical, the Scotia arc specimens had consistently shorter shell heights at similar shell length. The average body size (shell length/height) per sample location plotted against latitude showed a decrease over the latitudinal range between 53 degrees'S and 73 degrees S. The differences observed between the three geographically separate areas, concurrent with this latitudinal cline, were examined further using ANOVA. Significant differences were found between populations of the Scotia arc and the Weddell Sea as well as between populations of the Scotia arc and the Ross Sea, but there were no significant differences between the populations of the Weddell and Ross Seas. The Scotia are further divided into two significantly different groups, the Shag Rocks populations and the populations from islands of the southern arc. (c) 2006 Elsevier Ltd. All rights reserved.</t>
  </si>
  <si>
    <t>British Antarctic Survey, NERC, Cambridge CB3 0ET, England</t>
  </si>
  <si>
    <t>Linse, K (corresponding author), British Antarctic Survey, NERC, High Cross,Madingley Rd, Cambridge CB3 0ET, England.</t>
  </si>
  <si>
    <t>kl@bas.ac.uk</t>
  </si>
  <si>
    <t>Linse, Katrin/0000-0003-3477-3047</t>
  </si>
  <si>
    <t>Natural Environment Research Council [bas010007] Funding Source: researchfish; NERC [bas010007] Funding Source: UKRI</t>
  </si>
  <si>
    <t>10.1016/j.dsr2.2006.02.003</t>
  </si>
  <si>
    <t>WOS:000240614400008</t>
  </si>
  <si>
    <t>Schiaparelli, S; Linse, K</t>
  </si>
  <si>
    <t>Schiaparelli, Stefano; Linse, Katrin</t>
  </si>
  <si>
    <t>A reassessment of the distribution of the common Antarctic scallop Adamussium colbecki (Smith, 1902)</t>
  </si>
  <si>
    <t>Adamussium colbecki; biogeography; antarctica</t>
  </si>
  <si>
    <t>BAY ROSS SEA; BIVALVE LATERNULA-ELLIPTICA; BENTHIC INVERTEBRATES; SEASONAL ENERGETICS; SOUTHERN-OCEAN; MCMURDO SOUND; ICE; ISLAND; MEGABENTHOS; COMMUNITIES</t>
  </si>
  <si>
    <t>The bivalve Adamussium colbecki is an endemic Antarctic pectinid that can be locally abundant in nearshore habitats, sometimes as the dominant species. However, its distribution around the Antarctic continent is rather puzzling, because it has a disjunct distribution, only occurring at some shallow, nearshore sites. Furthermore, there are some records of living specimens from the deeper shelf. In order to understand the biogeography of this eircum-Antarctic species, we critically reviewed literature data on its distribution, comparing the available habitat information for those sites that have the most conspicuous populations of A. colbecki. We identified some major types of environments suitable for this species; these environments, notwithstanding an apparent dissimilarity (e.g., in the trophic conditions), all share a good level of environmental stability. In shallow, nearshore areas, these environments are represented by calm hydrographical settings with permanent or persistent sea-ice coverage, while on the shelf, by areas with infrequent iceberg scouring without structured communities of suspension feeders. (c) 2006 Elsevier Ltd. All rights reserved.</t>
  </si>
  <si>
    <t>Univ Genoa, Dip Te Ris, I-16132 Genoa, Italy; British Antarctic Survey, NERC, Cambridge CB3 0ET, England</t>
  </si>
  <si>
    <t>University of Genoa; UK Research &amp; Innovation (UKRI); Natural Environment Research Council (NERC); NERC British Antarctic Survey</t>
  </si>
  <si>
    <t>Schiaparelli, S (corresponding author), Univ Genoa, Dip Te Ris, I-16132 Genoa, Italy.</t>
  </si>
  <si>
    <t>steschia@dipteris.unige.it</t>
  </si>
  <si>
    <t>Schiaparelli, Stefano/AAI-4024-2020</t>
  </si>
  <si>
    <t>Schiaparelli, Stefano/0000-0002-0137-3605; Linse, Katrin/0000-0003-3477-3047</t>
  </si>
  <si>
    <t>NERC [bas010007] Funding Source: UKRI; Natural Environment Research Council [bas010007] Funding Source: researchfish</t>
  </si>
  <si>
    <t>10.1016/j.dsr2.2006.02.004</t>
  </si>
  <si>
    <t>WOS:000240614400009</t>
  </si>
  <si>
    <t>Linse, K; Barnes, DKA; Enderlein, P</t>
  </si>
  <si>
    <t>Linse, Katrin; Barnes, David K. A.; Enderlein, Peter</t>
  </si>
  <si>
    <t>Body size and growth of benthic invertebrates along an Antarctic latitudinal gradient</t>
  </si>
  <si>
    <t>polar; mortality; gastropods; bryozoans; sea urchins; latitudinal clines</t>
  </si>
  <si>
    <t>SIGNY ISLAND; GEOGRAPHICAL VARIATION; DIVERSITY GRADIENTS; TAXONOMIC DIVERSITY; SPECIES-DIVERSITY; NATURAL-HISTORY; BERGMANNS RULE; SANDY BEACH; PATTERNS; SEA</t>
  </si>
  <si>
    <t>Much has been made of body-size variability with latitude, and extreme body sizes in polar waters, but body size has never been investigated along a latitudinal gradient within polar waters. The Scotia arc and Antarctic Peninsula are ideal for latitudinal studies, and a number of species extend along the length of this region. We studied body size in two gastropod molluscs, Margarella antarctica and Nacella concinna, an echinoid, Sterechinus neumayeri, and two bryozoans, Celleporella bougainvillea and Inversiula nutrix, at six sites from South Georgia to Adelaide Island (54-68 degrees S). We hypothesised that size, age, and growth would not correlate with latitude, given the uniformity of conditions (i.e. temperature, dissolved oxygen, etc.) within the Polar Frontal Zone. We found significant differences in size of all five species among our study sites, but not a linear trend, nor one that correlated with latitude. In bryozoans, this result was because growth was positively and age negatively correlated with latitude-resulting in little difference in overall size. In the grazer organisms (the two gastropods and the echinoid) a correlation with local food availability (chlorophyll a concentration) did not correlate with latitude. Fecundity in the gastropod M. antarctica was positively correlated with body size, and body size also was influenced by food availability. We conclude that variation in body size in all five study taxa was governed by local factors such as food availability and competition and not by latitude. (c) 2006 Elsevier Ltd. All rights reserved.</t>
  </si>
  <si>
    <t>NERC [bas010009, bas010008, bas010007] Funding Source: UKRI; Natural Environment Research Council [bas010008, bas010007, bas010009] Funding Source: researchfish</t>
  </si>
  <si>
    <t>10.1016/j.dsr2.2006.03.006</t>
  </si>
  <si>
    <t>WOS:000240614400010</t>
  </si>
  <si>
    <t>Cantero, ALP</t>
  </si>
  <si>
    <t>Pena Cantero, A. L.</t>
  </si>
  <si>
    <t>Benthic hydroids from the south of Livingston Island (South Shetland Islands, Antarctica) collected by the Spanish antarctic expedition Bentart 94</t>
  </si>
  <si>
    <t>hydrozoa; biodiversity; ecology; biogeography; Antarctic Ocean</t>
  </si>
  <si>
    <t>SCHIZOTRICHA ALLMAN; STAUROTHECA ALLMAN; OSWALDELLA STECHOW; R.V. POLARSTERN; RV POLARSTERN; 1919 CNIDARIA; HYDROZOA; SERTULARIIDAE; GENUS; HALOPTERIDIDAE</t>
  </si>
  <si>
    <t>Twenty-five species of benthic hydroids were collected during the Spanish Antarctic expedition Bentart 94 from the south of Livingston Island (Antarctica). All species are considered regarding autecology and geographical distribution. The systematic position amongst allied species is discussed when considered necessary. Antarctoscyphus asymmetricus and Symplectoscyphus nesioticus are reported for the second and the third time, respectively. (c) 2006 Elsevier Ltd. All rights reserved.</t>
  </si>
  <si>
    <t>Univ Valencia, Inst Cavanilles Biodivers &amp; Biol Evolut, Valencia 46071, Spain</t>
  </si>
  <si>
    <t>University of Valencia</t>
  </si>
  <si>
    <t>Cantero, ALP (corresponding author), Univ Valencia, Inst Cavanilles Biodivers &amp; Biol Evolut, Apdo Correos 22085, Valencia 46071, Spain.</t>
  </si>
  <si>
    <t>Alvaro.L.Pena@uv.es</t>
  </si>
  <si>
    <t>Cantero, Álvaro Luis Peña/F-7888-2016</t>
  </si>
  <si>
    <t>Pena Cantero, Alvaro/0000-0003-3056-6673</t>
  </si>
  <si>
    <t>10.1016/j.dsr2.2006.02.005</t>
  </si>
  <si>
    <t>WOS:000240614400011</t>
  </si>
  <si>
    <t>Cantero, ALP; Ramil, F</t>
  </si>
  <si>
    <t>Pena Cantero, A. L.; Ramil, F.</t>
  </si>
  <si>
    <t>Benthic hydroids associated with volcanic structures from Bransfield Strait (Antarctica) collected by the Spanish Antarctic expedition GEBRAP96</t>
  </si>
  <si>
    <t>hydrozoa; biodiversity; ecology; distribution; new species; Antarctic Ocean; South Shetland Islands</t>
  </si>
  <si>
    <t>OSWALDELLA STECHOW; 1919 CNIDARIA; STAUROTHECA ALLMAN; HYDROZOA; POLARSTERN; SERTULARIIDAE</t>
  </si>
  <si>
    <t>During the Spanish Antarctic expedition GEBRAP96 a survey to study the benthic fauna associated with deep volcanic structures in the Bransfield Strait was carried out. Amongst the benthic samples, a small collection of hydroids was gathered. A total of 10 species, most of them Leptothecata, was recorded; only two species of anthoathecates were present. Kirchenpaueriidae and Sertulariidae were the dominant families, and Symplectoscyphus and Oswaldella the predominant genera. Oswaldella niobae sp. nov. is described and figured. Since samples were taken at great depth, the lowest limit of the bathymetrical distribution for several species is distinctly increased. None of the samples showed signs of hydrothermal phenomena and the species of hydroids present were typical representatives of the Antarctic benthic hydroid fauna. (c) 2006 Elsevier Ltd. All rights reserved.</t>
  </si>
  <si>
    <t>Univ Valencia, Inst Cavanilles Biodivers &amp; Biol Evolut, Valencia 46071, Spain; Fac Ciencias, Dept Ecol &amp; Biol Anim, Vigo 36200, Spain</t>
  </si>
  <si>
    <t>University of Valencia; Universidade de Vigo</t>
  </si>
  <si>
    <t>Alvaro.L.Pena@uv.es; framil@uvigo.es</t>
  </si>
  <si>
    <t>Ramil, Fran/0000-0002-9146-8201; Pena Cantero, Alvaro/0000-0003-3056-6673</t>
  </si>
  <si>
    <t>10.1016/j.dsr2.2006.02.007</t>
  </si>
  <si>
    <t>WOS:000240614400012</t>
  </si>
  <si>
    <t>Thrush, S; Dayton, P; Cattaneo-Vietti, R; Chiantore, M; Cummings, V; Andrew, N; Hawes, I; Kim, S; Kvitek, R; Schwarz, AM</t>
  </si>
  <si>
    <t>Thrush, Simon; Dayton, Paul; Cattaneo-Vietti, Riccardo; Chiantore, Mariachiara; Cummings, Vonda; Andrew, Neil; Hawes, Ian; Kim, Stacy; Kvitek, Rikk; Schwarz, Anne-Maree</t>
  </si>
  <si>
    <t>Broad-scale factors influencing the biodiversity of coastal benthic communities of the Ross Sea</t>
  </si>
  <si>
    <t>biodiversity; latitudinal gradient; benthic communities; ice dynamics; Ross Sea</t>
  </si>
  <si>
    <t>MCMURDO-SOUND; PHYLLOPHORA-ANTARCTICA; ORGANIC-MATTER; IMPACT; ICE; POPULATION; DIVERSITY; PATTERNS; QUANTIFICATION; CIRCULATION</t>
  </si>
  <si>
    <t>Early ecological research in McMurdo Sound revealed local spatial gradients in community structure associated with variations in anchor ice disturbance, fast ice and snow cover, and the effects of predators. Research contrasting the cast and west sides of McMurdo Sound has shown major differences in benthic communities, which have been attributed to oceanographic influences on the advection of water-column productivity and the frequency of fast ice break-out. Despite these regional and local differences, coastal benthic communities in McMurdo Sound show a high level of stability, and contain a variety of large and potentially very long-lived species. In Terra Nova Bay, about half way along the Victoria Land Coast of the western Ross Sea, the coastal benthic communities provide some insightful contrasts with those in McMurdo Sound. For example, the abundance and depth distribution of dominant species such as Sterechinus neumayeri and Adamussium colbecki are markedly different from McMurdo Sound. In both locations communities dominated by large sponges are most prolific in regions that are free from iceberg disturbance of the seabed. A recent assessment of northern Victoria Land coastal benthic communities, in conjunction with multibeam imagery of the seafloor, further highlights the importance of iceberg disturbance in structuring Antarctic benthic communities. A comparative synthesis of these coastal ecological studies enables us to generate hypotheses concerning the relative importance of different environmental drivers in structuring benthic communities. Overlain on the regular latitudinal shifts in physical factors such as light regime, are regional fluctuations that are controlled by atmospheric and oceanographic circulation patterns and coastal topography/bathymetry. Change in diversity along the western coast of the Ross Sea is predicted to be influenced by three main factors (1) ice disturbance (e.g., via anchor ice and advection of supercooled water or icebergs), (2) photosynthetically available radiation (affected by ice and snow cover and water clarity), (3) the locations of polynyas and advection of planktonic production and larvae. Interactions between these factors are expected to result in non-linear changes along the latitudinal gradient. While predictions generated from these hypotheses remain to be rigorously tested, they provide indications of how benthic communities may respond to changes in production, disturbance and the stability of coastal sea ice. (c) 2006 Elsevier Ltd. All rights reserved.</t>
  </si>
  <si>
    <t>Natl Inst Water &amp; Atmospher Res, Hamilton, New Zealand; Univ Calif San Diego, Scripps Inst Oceanog, La Jolla, CA 92093 USA; Univ Genoa, DIPTERIS, I-16132 Genoa, Italy; Natl Inst Water &amp; Atmospher Res, Wellington, New Zealand; Moss Landing Marine Labs, Moss Landing, CA 95039 USA; Calif State Univ, Seafloor Mapping Lab, Monterey, CA 93955 USA</t>
  </si>
  <si>
    <t>National Institute of Water &amp; Atmospheric Research (NIWA) - New Zealand; University of California System; University of California San Diego; Scripps Institution of Oceanography; University of Genoa; National Institute of Water &amp; Atmospheric Research (NIWA) - New Zealand; Moss Landing Marine Laboratories</t>
  </si>
  <si>
    <t>Thrush, S (corresponding author), Natl Inst Water &amp; Atmospher Res, POB 11-115, Hamilton, New Zealand.</t>
  </si>
  <si>
    <t>S.Thrush@niwa.cri.nz</t>
  </si>
  <si>
    <t>andrew, neil/AAG-6360-2020; Andrew, Neil/B-8614-2009; Chiantore, Mariachiara/C-7070-2017</t>
  </si>
  <si>
    <t>andrew, neil/0000-0002-2337-8722; Chiantore, Mariachiara/0000-0002-5862-1470; Hawes, Ian/0000-0003-2471-6903; Thrush, Simon/0000-0002-4005-3882; Cummings, Vonda/0000-0003-1076-3995</t>
  </si>
  <si>
    <t>10.1016/j.dsr2.2006.02.006</t>
  </si>
  <si>
    <t>WOS:000240614400013</t>
  </si>
  <si>
    <t>Teixidó, N; Gili, JM; Uriz, MJ; Gutt, J; Arntz, WE</t>
  </si>
  <si>
    <t>Teixido, Nuria; Gili, Josep-Maria; Uriz, Maria-J; Gutt, Julian; Arntz, Wolf E.</t>
  </si>
  <si>
    <t>Observations of asexual reproductive strategies in Antarctic hexactinellid sponges from ROV video records</t>
  </si>
  <si>
    <t>Antarctica; asexual reproduction; hexactinellida; ROV; sponges</t>
  </si>
  <si>
    <t>SUPPLY-SIDE ECOLOGY; WEDDELL SEA; PHYTOPLANKTON BIOMASS; POPULATION-DYNAMICS; BENTHIC COMMUNITY; RECRUITMENT; IMPACT; PATTERNS; CORAL; FRAGMENTATION</t>
  </si>
  <si>
    <t>Hexactinellid sponges are one of the structuring taxa of benthic communities on the Weddell Sea shelf (Antarctica). However, little is known about their reproduction patterns (larval development, release, settlement, and recruitment), particularly in relation to sexual and asexual processes in sponge populations. Video stations obtained during several expeditions covering a wide depth range and different areas recorded a high frequency of asexual reproductive strategies (ARS) (bipartition and budding) among hexactinellids. Analysis of seabed video strips between 108 and 256m depth, representing an area of 1400m, showed that about 28% of these sponges exhibited ARS. The Rossella nuda type dominated most of the video stations and exhibited the highest proportion of budding (35%). This proportion increased with the size class. Size class &gt; 20 cm exhibited in all the stations a mean value of 8.3 +/- 0.7 (SE) for primary and of 2.5 +/- 0.2 (SE) for secondary propagules per sponge, respectively. Results from a shallow station (Sin 059, 117 in depth) showed the highest relative abundance of R. nuda type and budding (&gt; 20cm similar to 72%, 10-20cm similar to 60%, 5-10cm similar to 12%, and &lt; 5cm similar to 3%). A potential influence of iceberg scouring disturbance on the occurrence of budding and number of propagules also was investigated. We conclude that asexual reproduction in hexactinellid sponges may be more frequent than has been thought before and it may greatly influence the genetic structure of populations. (c) 2006 Elsevier Ltd. All rights reserved.</t>
  </si>
  <si>
    <t>CSIC, Inst Ciencias Mar, CMIMA, E-08003 Barcelona, Spain; CSIC, Ctr Estud Avancats, Blanes 17300, Girona, Spain; Alfred Wegener Inst Polar &amp; Marine Res, D-27568 Bremerhaven, Germany</t>
  </si>
  <si>
    <t>Consejo Superior de Investigaciones Cientificas (CSIC); CSIC - Centro Mediterraneo de Investigaciones Marinas y Ambientales (CMIMA); CSIC - Instituto de Ciencias del Mar (ICM); Consejo Superior de Investigaciones Cientificas (CSIC); CSIC - Centre d'Estudis Avancats de Blanes (CEAB); Helmholtz Association; Alfred Wegener Institute, Helmholtz Centre for Polar &amp; Marine Research</t>
  </si>
  <si>
    <t>Teixidó, N (corresponding author), Ctr Oceanol Marseille, Marine Endoume Stn, Rut Batterie Lions, F-13007 Marseille, France.</t>
  </si>
  <si>
    <t>teixido@com.univ-mrs.fr</t>
  </si>
  <si>
    <t>Uriz, Maria J/J-9001-2012; Uriz, Maria J./AGP-4595-2022</t>
  </si>
  <si>
    <t>Uriz, Maria J./0000-0002-8169-3173; Teixido, Nuria/0000-0001-9286-2852; Gutt, Julian/0000-0003-3773-9370</t>
  </si>
  <si>
    <t>10.1016/j.dsr2.2006.02.008</t>
  </si>
  <si>
    <t>WOS:000240614400014</t>
  </si>
  <si>
    <t>Linse, K; Griffiths, HJ; Barnes, DKA; Clarke, A</t>
  </si>
  <si>
    <t>Linse, Katrin; Griffiths, Huw J.; Barnes, David K. A.; Clarke, Andrew</t>
  </si>
  <si>
    <t>Biodiversity and biogeography of Antarctic and sub-Antarctic mollusca</t>
  </si>
  <si>
    <t>biogeography; biodiversity; endemism; mollusca; Antarctica</t>
  </si>
  <si>
    <t>DIVERSITY GRADIENTS; TAXONOMIC DIVERSITY; SPECIES RICHNESS; SEYMOUR-ISLAND; BENTHIC FAUNA; MARINE; PATTERNS; DATABASE; OCEAN; ATLANTIC</t>
  </si>
  <si>
    <t>For many decades molluscan data have been critical to the establishment of the concept of a global-scale increase in species richness from the poles to the equator. Low polar diversity is key to this latitudinal cline in diversity. Here we investigate richness patterns in the two largest classes of molluscs at both local and regional scales throughout the Southern Ocean. We show that biodiversity is very patchy in the Southern Ocean (at the 1000-km scale) and test the validity of historical biogeographic sub-regions and provinces. We used multivariate analysis of biodiversity patterns at species, genus and family levels to define richness hotspots within the Southern Ocean and transition areas. This process identified the following distinct sub-regions in the Southern Ocean: Antarctic Peninsula, Weddell Sea, East Antarctic-Dronning Maud Land, East Antarctic-Enderby Land, East Antarctic-Wilkes Land, Ross Sea, and the independent Scotia are and sub Antarctic islands. Patterns of endemism were very different between the bivalves and gastropods. On the basis of distributional ranges and radiation centres of evolutionarily successful families and genera we define three biogeographic provinces in the Southern Ocean: (1) the continental high Antarctic province excluding the Antarctic Peninsula, (2) the Scotia Sea province including the Antarctic Peninsula, and (3) the sub Antarctic province comprising the islands in the vicinity of the Antarctic Circumpolar Current. (c) 2006 Elsevier Ltd. All rights reserved.</t>
  </si>
  <si>
    <t>Griffiths, Huw J/D-4234-2009</t>
  </si>
  <si>
    <t>Griffiths, Huw J/0000-0003-1764-223X; Linse, Katrin/0000-0003-3477-3047</t>
  </si>
  <si>
    <t>Natural Environment Research Council [dml011000, bas010007] Funding Source: researchfish; NERC [dml011000, bas010007] Funding Source: UKRI</t>
  </si>
  <si>
    <t>10.1016/j.dsr2.2006.05.003</t>
  </si>
  <si>
    <t>WOS:000240614400015</t>
  </si>
  <si>
    <t>Gutt, J</t>
  </si>
  <si>
    <t>Gutt, Julian</t>
  </si>
  <si>
    <t>Coexistence of macro-zoobenthic species on the Antarctic shelf: An attempt to link ecological theory and results</t>
  </si>
  <si>
    <t>ecological niches; biological competition; resource limitation; environmental changes; migration; evolution</t>
  </si>
  <si>
    <t>EASTERN WEDDELL SEA; MARINE BENTHIC COMMUNITIES; QUANTITATIVE INVESTIGATIONS; RECRUITMENT LIMITATION; CONTINENTAL-SHELF; ISOPODS CRUSTACEA; ROSS SEA; DIVERSITY; ICE; LAZAREV</t>
  </si>
  <si>
    <t>The coexistence of species within a community generally can be explained by niche differentiation, mechanisms that control competitive displacement, and by chance. This review is an attempt to link ecological conceptual models with results from field research. A verification of different theoretically developed mechanisms shows that niche differentiation plays a major role in the Antarctic. This is particularly true if a broad niche definition is applied that includes alternating phases of competitive strength and weakness that allow populations to persist in a community. Such specific adaptation to the environment also seems to be an important mechanism among animals, which, to date, have been assumed to have broadly overlapping ecological demands. Nevertheless, disturbances due to glaciation history, ice impact, and predation, as well as a high dispersal capacity and low resource limitation contribute to the coexistence or, locally, to the reduction of potential competitors. Chance, reflecting extremely complex or otherwise indecipherable processes, also shapes diversity, e.g., during recolonization after habitat devastation due to iceberg scouring. The slow rates of ecological processes in the Antarctic benthos are shown not necessarily to reduce, but perhaps, to increase the potential for evolutionary radiation in some systematic groups. The fundamental question of how ecosystems continue to develop in the presence or absence of anthropogenic impacts can only be answered if such system-specific ecological and evolutionary mechanisms can be better identified and verified. Studies of the Antarctic benthos can contribute to a corresponding global approach if more comparable information on the life histories of representative species becomes available and if ecological models are developed to decipher complex processes, that shape biodiversity patterns. (c) 2006 Elsevier Ltd. All rights reserved.</t>
  </si>
  <si>
    <t>Alfred Wegener Inst Polar &amp; Marine Res, D-27568 Bremerhaven, Germany</t>
  </si>
  <si>
    <t>Gutt, J (corresponding author), Alfred Wegener Inst Polar &amp; Marine Res, Columbusstr, D-27568 Bremerhaven, Germany.</t>
  </si>
  <si>
    <t>jgutt@awi-bremerhaven.de</t>
  </si>
  <si>
    <t>Gutt, Julian/0000-0003-3773-9370</t>
  </si>
  <si>
    <t>10.1016/j.dsr2.2006.02.012</t>
  </si>
  <si>
    <t>WOS:000240614400016</t>
  </si>
  <si>
    <t>Gili, JM; Arntz, WE; Palanques, A; Orejas, C; Clarke, A; Dayton, PK; Isla, E; Teixidó, N; Rossi, S; López-González, PJ</t>
  </si>
  <si>
    <t>Gili, Josep-Maria; Arntz, Wolf E.; Palanques, Albert; Orejas, Covadonga; Clarke, Andrew; Dayton, Paul K.; Isla, Enrique; Teixido, Nuria; Rossi, Sergio; Lopez-Gonzalez, Pablo J.</t>
  </si>
  <si>
    <t>A unique assemblage of epibenthic sessile suspension feeders with archaic features in the high-Antarctic</t>
  </si>
  <si>
    <t>benthic communities; epibenthos; High-Antarctic; suspension feeders; paleozoic fauna; palaeoecology</t>
  </si>
  <si>
    <t>SOUTHEASTERN WEDDELL SEA; BENTHIC COMMUNITIES; ROSS SEA; QUANTITATIVE INVESTIGATIONS; FEEDING COMMUNITIES; CONTINENTAL-SHELF; SOFT SUBSTRATA; PARTICLE-FLUX; POTTER COVE; LATE EOCENE</t>
  </si>
  <si>
    <t>We suggest that the epibenthic communities of passive suspension feeders that dominate some high-Antarctic seafloors present unique archaic features that are the result of long isolation, together with the effects of environmental features including reduced terrestrial runoff and favourable feeding conditions. These features probably originated during the Late Cretaceous, when the high-Antarctic environment started to become different from the surrounding oceans. Modern Antarctic communities are thus composed of a mixture of Palaeozoic elements, taxa that migrated from the deep ocean during interglacial periods, and a component of fauna that evolved from common Gondwana Cretaceous ancestors. We explore this hypothesis by revisiting the palaeoecological history of Antarctic marine benthic communities and exploring the abiotic and biotic factors involved in their evolution, including changes in oceanic circulation and production, plankton communities, the development of glaciation, restricted sedimentation, isolation, life histories, and the lack of large predators. The conditions favouring the retention of apparently archaic features in the Antarctic marine fauna remain to be fully elucidated, but high-Antarctic communities are clearly unique and deserve special conservation. (c) 2006 Elsevier Ltd. All rights reserved.</t>
  </si>
  <si>
    <t>CSIC, Inst Ciencias Mar, CMIMA, E-08003 Barcelona, Spain; Alfred Wegener Inst Polar &amp; Marine Res, D-27568 Bremerhaven, Germany; British Antarctic Survey, NERC, Cambridge CB3 0ET, England; Univ Calif San Diego, Scripps Inst Oceanog, La Jolla, CA 92093 USA; Univ Seville, Dept Fisiol &amp; Zool, E-41012 Seville, Spain</t>
  </si>
  <si>
    <t>Consejo Superior de Investigaciones Cientificas (CSIC); CSIC - Centro Mediterraneo de Investigaciones Marinas y Ambientales (CMIMA); CSIC - Instituto de Ciencias del Mar (ICM); Helmholtz Association; Alfred Wegener Institute, Helmholtz Centre for Polar &amp; Marine Research; UK Research &amp; Innovation (UKRI); Natural Environment Research Council (NERC); NERC British Antarctic Survey; University of California System; University of California San Diego; Scripps Institution of Oceanography; University of Sevilla</t>
  </si>
  <si>
    <t>Gili, JM (corresponding author), CSIC, Inst Ciencias Mar, CMIMA, Passeig Maritim Barceloneta 37-49, E-08003 Barcelona, Spain.</t>
  </si>
  <si>
    <t>gili@icm.csic.es</t>
  </si>
  <si>
    <t>Palanques, Albert/C-2661-2013; Orejas, Covadonga/B-1644-2012; Lopez-González, Pablo J./Y-6440-2018</t>
  </si>
  <si>
    <t>Lopez-González, Pablo J./0000-0002-7348-6270; Palanques, Albert/0000-0003-2544-2342; Isla, Enrique/0000-0003-4959-6936; Rossi, Sergio/0000-0003-4402-3418; Teixido, Nuria/0000-0001-9286-2852; Orejas Saco del Valle, Covadonga/0000-0002-2580-1002</t>
  </si>
  <si>
    <t>10.1016/j.dsr2.2005.10.021</t>
  </si>
  <si>
    <t>WOS:000240614400017</t>
  </si>
  <si>
    <t>Webb, KE; Barnes, DKA; Clark, MS; Bowden, DA</t>
  </si>
  <si>
    <t>Webb, Karen E.; Barnes, David K. A.; Clark, Melody S.; Bowden, David A.</t>
  </si>
  <si>
    <t>DNA barcoding: A molecular tool to identify Antarctic marine larvae</t>
  </si>
  <si>
    <t>marine larval ecology; molecular taxonomy; mitochondrial DNA</t>
  </si>
  <si>
    <t>RIBOSOMAL-RNA GENE; SPECIES IDENTIFICATION; ADMIRALTY BAY; PHYLOGENY; SEQUENCE; BIVALVE; INVERTEBRATES; REPRODUCTION; SYSTEMATICS; ABUNDANCE</t>
  </si>
  <si>
    <t>To begin to understand overall patterns and processes influencing marine populations, communities and ecosystems, it is important to determine the timing, duration, mode and dispersal of larvae. However, few studies of the spatial and temporal variation in abundance of larvae have been undertaken at any locality, other than for a few commercially important species. In Antarctic seas the abundance and species-richness of marine larvae are key to a number of concepts (such as the validity of Thorson's rule and ecological versus evolutionary success of brooders compared to spawning species). Traditionally, marine larval identification (using microscopy), even to order level, is a time-consuming, labour-intensive and inexact process. Ontogenic changes during larval life make identification difficult and require high levels of expertise, and identification is generally confirmed only by laboratory spawning experiments. New molecular genetic methods enable faster direct identification of marine larvae to a higher resolution. Our preliminary results show that it is possible to identify larvae of Antarctic species using DNA barcoding techniques, but that the resolution is currently limited by the availability of comparative adult sequences in the DNA sequence databases. (c) 2006 Elsevier Ltd. All rights reserved.</t>
  </si>
  <si>
    <t>British Antarctic Survey, NERC, Div Biol Sci, Cambridge CB3 0ET, England</t>
  </si>
  <si>
    <t>Barnes, DKA (corresponding author), British Antarctic Survey, NERC, Div Biol Sci, High Cross,Madingley Rd, Cambridge CB3 0ET, England.</t>
  </si>
  <si>
    <t>dkab@bas.ac.uk</t>
  </si>
  <si>
    <t>赵, 鹏/B-8401-2009; Webb, Karen/A-5977-2010; Clark, Melody/D-7371-2014</t>
  </si>
  <si>
    <t>Clark, Melody/0000-0002-3442-3824</t>
  </si>
  <si>
    <t>Natural Environment Research Council [bas010008] Funding Source: researchfish; NERC [bas010008] Funding Source: UKRI</t>
  </si>
  <si>
    <t>10.1016/j.dsr2.2006.02.013</t>
  </si>
  <si>
    <t>WOS:000240614400018</t>
  </si>
  <si>
    <t>La Mesa, M; Cattaneo-Vietti, R; Vacchi, M</t>
  </si>
  <si>
    <t>La Mesa, Mario; Cattaneo-Vietti, Riccardo; Vacchi, Marino</t>
  </si>
  <si>
    <t>Species composition and distribution of the Antarctic plunderfishes (Pisces, Artedidraconidae) from the Ross Sea off Victoria Land</t>
  </si>
  <si>
    <t>plunderfishes; distribution; diversity; Victoria Land</t>
  </si>
  <si>
    <t>WEDDELL SEA; POGONOPHRYNE PISCES; MENTAL BARBEL; DEMERSAL FISH; PERCIFORMES; HARPAGIFERIDAE; ECOLOGY; FAUNA</t>
  </si>
  <si>
    <t>Among the notothenioid fish, the Antarctic plunderfishes (family Artedidraconidae) are a poorly known component of the bottom fauna of the continental shelf despite their relative importance. The family is composed of 25 small- to medium-sized endemic species and four genera, Artedidraco, Dolloidraco, Histiodraco and Pogonophryne, which are the most benthic and sedentary of the notothenioid fish. In the framework of Victoria Land Transect Project, several samples of plunderfishes were collected by means of an Agassiz trawl. Sampling activities were carried out between 100 and 500m depth in five sites over nearly 4 degrees latitude off Victoria Land. Overall, trawling yielded 80 specimens of plunderfish, including all species of Artedidraco reported from the Ross Sea, i.e. Artedidraco glareobarbatus, A. loennbergi, A. orianae, A. shackletoni and A. skottsbergi, and the monotypic genus Histiodraco. The use of multivariate statistical analyses on catch data indicated sampling site as the main factor affecting species composition. Histiodraco velifer and A. skottsbergi were caught almost exclusively in the southernmost sites, characterizing the artedidraconid fauna of Cape Russell. A. orianae was sampled only in the northernmost sites, such as Cape Adare and Hallett Peninsula. A. loennbergi appeared to be a ubiquitous species, whereas A. glareobarbatus was caught only at the Hallett Peninsula. Plunderfishes showed a particular distribution pattern in relation to depth as well. A. glareobarbatus was the shallowest species, being sampled within 100 m. A. orianae and A. shackletoni showed a similar distribution, being caught mostly at 100-200 m, whereas A. skottsbergi was mainly sampled at 200-300m. H. velifer was caught in a wide depth range, but mostly in deeper waters (400m). A, loennbergi was eurybathic, showing a wider depth distribution than other species. Univariate measures of diversity indicated Cape Adare as the poorer site in terms of species richness and diversity. Number of species, diversity and equitability were quite similar off Hallett Peninsula and Cape Russell, indicating the absence of a latitudinal trend. Generally, all univariate indices decreased from shallow (100m) to deep waters (500m). (c) 2006 Elsevier Ltd. All rights reserved.</t>
  </si>
  <si>
    <t>CNR, ISMAR, Sez Pesca Marittima, I-60125 Ancona, Italy; Univ Genoa, Dipteris, I-16132 Genoa, Italy; ICRAM, I-00166 Rome, Italy</t>
  </si>
  <si>
    <t>Consiglio Nazionale delle Ricerche (CNR); Istituto di Scienze Marine (ISMAR-CNR); University of Genoa</t>
  </si>
  <si>
    <t>La Mesa, M (corresponding author), CNR, ISMAR, Sez Pesca Marittima, Largo Fiera Pesca, I-60125 Ancona, Italy.</t>
  </si>
  <si>
    <t>m.lamesa@ismar.cnr.it</t>
  </si>
  <si>
    <t>CNR, Ismar/P-1247-2014</t>
  </si>
  <si>
    <t>CNR, Ismar/0000-0001-5351-1486</t>
  </si>
  <si>
    <t>10.1016/j.dsr2.2006.05.002</t>
  </si>
  <si>
    <t>WOS:000240614400019</t>
  </si>
  <si>
    <t>Pörtner, HO</t>
  </si>
  <si>
    <t>Poertner, Hans O.</t>
  </si>
  <si>
    <t>Climate-dependent evolution of Antarctic ectotherms:: An integrative analysis</t>
  </si>
  <si>
    <t>Antarctic marine ectotherm; metabolic cold adaptation; climate-dependent evolution; stenothermy versus eurythermy; growth; development</t>
  </si>
  <si>
    <t>METABOLIC COLD ADAPTATION; COD GADUS-MORHUA; PROTEIN-SYNTHESIS CAPACITIES; LIMITED THERMAL TOLERANCE; LUGWORM ARENICOLA-MARINA; BIVALVE YOLDIA-EIGHTSI; CYTOCHROME-C-OXIDASE; ZONE FIDDLER-CRABS; OXYGEN-CONSUMPTION; CRITICAL-TEMPERATURES</t>
  </si>
  <si>
    <t>The paper explores the climate-dependent evolution of marine Antarctic fauna and tries to identify key mechanisms involved as well as the driving forces that have caused the physiological and life history characteristics observed today. In an integrative approach it uses the recent concept of oxygen and capacity limited thermal tolerance to identify potential links between molecular, cellular, whole-organism, and ecological characteristics of marine animal life in the Antarctic. As a generalized pattern, minimization of baseline energy costs, for the sake of maximized growth in the cold, appears as one over-arching principle shaping the evolution and functioning of Antarctic marine ectotherms. This conclusion is supported by recent comparisons with (sub-) Arctic ectotherms, where elevated levels of energy turnover result at unstable, including cold temperatures, and are related to wide windows of thermal tolerance and associated metabolic features. At biochemical levels, metabolic regulation at low temperatures in general, is supported by the cold compensation of enzyme kinetic parameters like substrate affinities and turnover numbers, through minute structural modifications of the enzyme molecule. These involve a shift in protein folding, sometimes supported by the replacement of individual amino acids. The hypothesis is developed that efficient metabolic regulation at low rates in Antarctic marine stenotherms occurs through high mitochondrial densities at low capacities and possibly enhanced levels of Arrhenius activation energies or activation enthalpies. This contrasts the more costly patterns of metabolic regulation at elevated rates in cold-adapted eurytherms. Energy savings in Antarctic ectotherms, largely exemplified in fish, typically involve low-cost, diffusive oxygen distribution due to high density of lipid membranes, loss of haemoglobin, myoglobin and the heat shock response, reduced anaerobic capacity, large myocytes with low ion exchange activities, and the use of lipid body stores for neutral buoyancy. Important trade-offs result from obligatory energy savings in the permanent cold: low metabolic rates support cold-compensated growth but imply narrow windows of thermal tolerance and reduced scopes for activity. The degree of thermal specialization is not uniformly defined by cold temperature but varies with life style characteristics and activity levels and associated aerobic scope. Trade-offs for the sake of cold compensated growth parallel reduced capacities for exercise performance, exacerbated by the effect of high haemolymph magnesium levels in crustaceans and, possibly, other invertebrates. High magnesium levels likely exclude the group of reptant decapod crustaceans from Antarctic waters below 0 degrees C. The hypothesis is developed that energy savings imposed by the permanent cold bear specific life history consequences. Due to effects of allometry, energy savings are exacerbated at small body size, favouring passive lecithotrophic larvae. At all stages of life history, reduced energy turnover for the sake of growth causes delays and low rates in other higher functions, with the result of late maturity, fecundity and offspring release, as well as extended development. As a consequence, extended life spans evolved due to life history requirements. At the same time, polar gigantism is enabled by a combination of elevated oxygen levels in cold waters, of reduced metabolism and of extended periods of growth at slow developmental rates. (c) 2006 Elsevier Ltd. All rights reserved.</t>
  </si>
  <si>
    <t>Alfred Wegener Inst Polar &amp; Marine Res, D-27515 Bremerhaven, Germany</t>
  </si>
  <si>
    <t>Pörtner, HO (corresponding author), Alfred Wegener Inst Polar &amp; Marine Res, Postfach 12 01 61, D-27515 Bremerhaven, Germany.</t>
  </si>
  <si>
    <t>hpoertner@awi-bremerhaven.de</t>
  </si>
  <si>
    <t>Pörtner, Hans-O./ISU-9397-2023; Pörtner, Hans-O./K-9429-2016</t>
  </si>
  <si>
    <t>Pörtner, Hans-O./0000-0001-6535-6575</t>
  </si>
  <si>
    <t>10.1016/j.dsr2.2006.02.015</t>
  </si>
  <si>
    <t>WOS:000240614400020</t>
  </si>
  <si>
    <t>Verde, C; Parisi, E; di Prisco, G</t>
  </si>
  <si>
    <t>Verde, Cinzia; Parisi, Elio; di Prisco, Guido</t>
  </si>
  <si>
    <t>Tracking adaptive evolution in the structure, function and molecular phylogeny of haemoglobin in non-Antarctic notothenioid fish species</t>
  </si>
  <si>
    <t>Antarctica; fish; notothenioidei; haemoglobin; evolution; structure/function</t>
  </si>
  <si>
    <t>OXYGEN-BINDING-PROPERTIES; DISTINCT HEMOGLOBINS; SINGLE HEMOGLOBIN; NEW-ZEALAND; COLD; TELEOST; MITOCHONDRIAL; SEQUENCE; ORIGIN; OCEAN</t>
  </si>
  <si>
    <t>With the notable exception of Antarctic icefishes, haemoglobin (Hb) is present in all vertebrates. In polar fish, Hb evolution has included adaptations with implications at the biochemical, physiological and molecular levels. Cold adaptation has been shown to be also linked to small changes in primary structure and post-translational modifications in proteins, including hydrophobic remodelling and increased flexibility. A wealth of knowledge is available on the oxygen-transport system of fish inhabiting Antarctic waters, but very little is known on the structure and function of Hb of non-Antarctic notothemoid fishes. The comparison of the biochemical and physiological adaptations between cold-adapted and non-cold-adapted species is a powerful tool to understand whether (and to what extent) extreme environments require specific adaptations or simply select for phenotypically different life styles. This study focuses on structure, function and molecular phylogeny of Hb in Antarctic and non-Antarctic notothenioid fishes. The rationale is to use the primary structure of Hb as tool of choice to gain insight into the pathways of the evolution history of alpha and beta globins of notothemoids and also as a basis for reconstructing the phylogenetic relationships among Antarctic and non-Antarctic species. (c) 2006 Elsevier Ltd. All rights reserved.</t>
  </si>
  <si>
    <t>CNR, Inst Prot Biochem, I-80131 Naples, Italy</t>
  </si>
  <si>
    <t>Consiglio Nazionale delle Ricerche (CNR); Istituto di Biochimica delle Proteine (IBP-CNR)</t>
  </si>
  <si>
    <t>di Prisco, G (corresponding author), CNR, Inst Prot Biochem, Via Pietro Castellino 111, I-80131 Naples, Italy.</t>
  </si>
  <si>
    <t>g.diprisco@ibp.cnr.it</t>
  </si>
  <si>
    <t>VERDE, Cinzia/0000-0001-6185-282X</t>
  </si>
  <si>
    <t>10.1016/j.dsr2.2006.03.005</t>
  </si>
  <si>
    <t>WOS:000240614400021</t>
  </si>
  <si>
    <t>Egginton, S; Campbell, H; Davison, W</t>
  </si>
  <si>
    <t>Egginton, Stuart; Campbell, Hamish; Davison, William</t>
  </si>
  <si>
    <t>Cardiovascular control in Antarctic fish</t>
  </si>
  <si>
    <t>catecholamines; vascular tone; oxygen consumption; heart rate; vagal control; telemetry</t>
  </si>
  <si>
    <t>TROUT ONCORHYNCHUS-MYKISS; POWER SPECTRAL-ANALYSIS; BLOOD-PRESSURE CONTROL; RAINBOW-TROUT; PAGOTHENIA-BORCHGREVINKI; STRESS-RESPONSE; GADUS-MORHUA; HEART-RATE; ACCLIMATION TEMPERATURE; CATECHOLAMINE RELEASE</t>
  </si>
  <si>
    <t>The capacity for synthesis and plasma levels of stress hormones in species with a range of activity patterns suggest that depressed catecholamine synthesis is typical of notothenioid fishes regardless of life style, although they are able to release extensive stores under conditions of extreme trauma. Cortisol does not appear to be an important primary stress hormone in these species. In general, vascular reactivity shows a modest alpha and beta adrenergic tonus, but with greater potency for cholinergic and serotonergic vasoconstrictor agonists, although a dominance of vasodilatation over vasoconstriction is observed in one species. Vasomotor control mechanisms appear to be primarily a consequence of evolutionary lineage rather than low environmental temperature, but the pattern may be modified according to functional demand. These and other data confirm the cardiovascular system is dominated by cholinergic control: the heart apparently lacks adrenergic innervation, but receives inhibitory parasympathetic input that regulates heart rate (HR) by setting a resting vagal tonus. Oxygen consumption (MO2) determined at rest and varied via specific dynamic action, in intact fish and fish that had undergone bilateral sectioning of the vagus nerve, show that HR is a good predictor Of MO2, and that the major influence on HR is the degree of vagal tone-these fish work by removing the brake rather than applying the accelerator. However, whether these traits actually represent adaptation to the Antarctic environment or merely represent ancestral characteristics and their relative phylogenetic position is at present unclear. (c) 2006 Elsevier Ltd. All rights reserved.</t>
  </si>
  <si>
    <t>Univ Birmingham, Dept Physiol, Birmingham B15 2TT, W Midlands, England; Univ Canterbury, Sch Biol Sci, Christchurch 8001, New Zealand</t>
  </si>
  <si>
    <t>University of Birmingham; University of Canterbury</t>
  </si>
  <si>
    <t>Egginton, S (corresponding author), Univ Birmingham, Dept Physiol, POB 363, Birmingham B15 2TT, W Midlands, England.</t>
  </si>
  <si>
    <t>s.egginton@bham.ac.uk</t>
  </si>
  <si>
    <t>Campbell, Hamish/0000-0003-1428-1686</t>
  </si>
  <si>
    <t>10.1016/j.dsr2.2006.03.007</t>
  </si>
  <si>
    <t>WOS:000240614400022</t>
  </si>
  <si>
    <t>Brodte, E; Knust, R; Pötner, HO; Arntz, WE</t>
  </si>
  <si>
    <t>Brodte, E.; Knust, R.; Poetner, H. O.; Arntz, W. E.</t>
  </si>
  <si>
    <t>Biology of the Antarctic eelpout Pachycara brachycephalum</t>
  </si>
  <si>
    <t>growth; fecundity; eelpout; temperature; zoarcidae; reproduction</t>
  </si>
  <si>
    <t>TEMPERATURE; SIZE; ZOARCIDAE</t>
  </si>
  <si>
    <t>The aim of this study was to relate the distribution of the Antarctic eelpout, Pachycara brachycephalum, to available physiological data, and to detect constraints in life history and biology. A population of Pachycara brachycephalum from the Antarctic Peninsula was investigated with regard to its growth and fecundity. At this sampling site, the species occurs in water depths around 400m, much shallower than where it is found in high Antarctic waters. The age of this species was determined by applying the annulus count method to the otoliths. Growth parameters, which show no strong sexual dimorphism, are L-infinity = 36.0cm; k = 0.12; t(o) = -1.75 (male) and L-infinity = 36.0cm; k = 0.10; t(o) = -2.99 (female). The maximum age found was 14 years, and maturity is reached after 5 year. At the end of July, females spawn about 80 eggs with a diameter of 9 mm. The smallest fish found so far was an early juvenile of 4.4cm. The life style characteristics of this species are similar to other polar and boreal eelpout species, supporting the uniformity of the Zoarcidae in general traits. (c) 2006 Elsevier Ltd. All rights reserved.</t>
  </si>
  <si>
    <t>Brodte, E (corresponding author), Alfred Wegener Inst Polar &amp; Marine Res, Postfach 12 01 61, D-27515 Bremerhaven, Germany.</t>
  </si>
  <si>
    <t>ebrodte@awi-bremerhaven.de</t>
  </si>
  <si>
    <t>Pörtner, Hans-O./K-9429-2016; Pörtner, Hans-O./ISU-9397-2023; Brodte, Eva-Maria/B-3717-2018</t>
  </si>
  <si>
    <t>Pörtner, Hans-O./0000-0001-6535-6575; Brodte, Eva-Maria/0000-0002-6835-4484</t>
  </si>
  <si>
    <t>10.1016/j.dsr2.2006.02.011</t>
  </si>
  <si>
    <t>WOS:000240614400023</t>
  </si>
  <si>
    <t>Thomalla, S; Turnewitsch, R; Lucas, M; Poulton, A</t>
  </si>
  <si>
    <t>Thomalla, Sandy; Turnewitsch, Robert; Lucas, Mike; Poulton, Alex</t>
  </si>
  <si>
    <t>Particulate organic carbon export from the North and South Atlantic gyres:: The 234Th/238U disequilibrium approach</t>
  </si>
  <si>
    <t>radioactive Th-234/U-238 disequilibrium; particle flux; carbon export; subtropical gyre; Atlantic Meridional Transect; Atlantic Ocean</t>
  </si>
  <si>
    <t>CENTRAL EQUATORIAL PACIFIC; ANTARCTIC POLAR FRONT; UPPER OCEAN EXPORT; SUBTROPICAL GYRE; SURFACE OCEAN; WATER COLUMN; SPRING BLOOM; SMALL-VOLUME; TIME-SERIES; FLUX</t>
  </si>
  <si>
    <t>Subtropical ocean gyres are believed to be characterized by low carbon export from the surface into the deep ocean. However, due to their large areas, even relatively small average export could be of significance for the global carbon cycle. To better constrain carbon export from the surface ocean in such regions, radioactive disequilibria between the particlereactive; short-lived radionuclide Th-234 (half-life 24.1 d) and its parent U-238 were used to estimate fluxes of Th-234 and particulate organic carbon (POC) from surface waters of the North and South Atlantic subtropical gyres and their fringes. Samples were collected between similar to 50 degrees S and similar to 50 degrees N as part of the Atlantic Meridional Transect (AMT) programme during April/May 2004 (AMT14). Application of a steady-state model to the Th-234 data revealed particle export from the surface (Th-234 deficit) and, in one instance, some evidence for shallow particle remineralisation at depth (Th-234 excess). Export fluxes of POC were calculated from water column Th-234/U-238 disequilibria and the POC to Th-234 ratios on large rapidly sinking particles (&gt; 50 mu m). Based on latitudinal distributions of selected hydrographic and biological parameters within the topmost 300m of the water column, the transect was divided into six regions: `temperate' (35 degrees-50 degrees N and 35 degrees-50 degrees S), `oligotrophic' (20 degrees-35 degrees N and 5 degrees-35 degrees S), 'equatorial' (5 degrees S-5 degrees N), and 'upwelling' (5 degrees-20 degrees N). The lowest Th-234-derived POC export fluxes were found in the oligotrophic gyres and ranged from 0 in the northern to 6 mmol C m(-2) d(-1) in the southern oligotrophic, indicating a tightly coupled food web. Enhanced POC export was associated with the equatorial region (25 mmol C m(-2) d(-1)) and the upwelling region north of the equator (15 mmol C m(-2) d(-1)). POC export in the temperate regions ranged from 7 mmol C m(-2) d(-1) to a maximum of 41 mmol C m(-2) d(-1). High fluxes at the poleward edges of the oligotrophic gyres probably result from episodic nutrient-loading processes associated with submesoscale features. Estimates of instantaneous primary production (PP) were compared with Th-234-derived POC export, the latter bearing information from the past few weeks. Most export efficiencies that were calculated based on this comparison were high (10s%), suggesting uncoupling of PP and export estimates due to the different time scales of the approaches. Moreover, this uncoupling points to the occurrence of pulsed high-export events that could be easily missed by instantaneous sampling but traced by temporally quasi-integrating tracers such as Th-234. Results from this study suggest that although carbon export in the oligotrophic centres of the gyres may be low, carbon sequestration in the temperate fringes of the gyres as well as in the equatorial and upwelling regions can be substantial, and that spatio-temporal variability in these areas of the world's oceans needs to be considered more fully in the context of global oceanic carbon sequestration. (c) 2006 Elsevier Ltd. All rights reserved.</t>
  </si>
  <si>
    <t>Univ Cape Town, Dept Oceanog, ZA-7701 Cape Town, South Africa; Natl Oceanog Ctr, Southampton SO14 3ZH, Hants, England</t>
  </si>
  <si>
    <t>University of Cape Town; NERC National Oceanography Centre</t>
  </si>
  <si>
    <t>Thomalla, S (corresponding author), Univ Cape Town, Dept Oceanog, Private Bag, ZA-7701 Cape Town, South Africa.</t>
  </si>
  <si>
    <t>thomalla@ocean.uct.ac.za</t>
  </si>
  <si>
    <t>Thomalla, Sandy/AAS-4133-2021; Poulton, Alex/A-9859-2012</t>
  </si>
  <si>
    <t>Poulton, Alex/0000-0002-5149-6961</t>
  </si>
  <si>
    <t>Natural Environment Research Council [NER/O/S/2001/00680] Funding Source: researchfish</t>
  </si>
  <si>
    <t>Natural Environment Research Council(UK Research &amp; Innovation (UKRI)Natural Environment Research Council (NERC))</t>
  </si>
  <si>
    <t>14-16</t>
  </si>
  <si>
    <t>10.1016/j.dsr2.2006.05.018</t>
  </si>
  <si>
    <t>102PM</t>
  </si>
  <si>
    <t>WOS:000241824600010</t>
  </si>
  <si>
    <t>Bouillon, RC; Miller, WL; Levasseur, M; Scarratt, M; Merzouk, A; Michaud, S; Ziolkowski, L</t>
  </si>
  <si>
    <t>Bouillon, Rene-Christian; Miller, William L.; Levasseur, Maurice; Scarratt, Michael; Merzouk, Anissa; Michaud, Sonia; Ziolkowski, Lori</t>
  </si>
  <si>
    <t>The effect of mesoscale iron enrichment on the marine photochemistry of dimethylsulfide in the NE subarctic Pacific</t>
  </si>
  <si>
    <t>biogeochemical cycle; photochemistry; sulfur compounds; dimethylsulfide; iron; SERIES</t>
  </si>
  <si>
    <t>QUANTUM YIELD SPECTRA; FERTILIZATION EXPERIMENT; NORTHEAST PACIFIC; PHYTOPLANKTON BLOOM; ANTARCTIC WATERS; DMS DYNAMICS; OCEAN; SULFUR; PHOTOLYSIS; SEA</t>
  </si>
  <si>
    <t>Measurements of underwater light fields and available quantum yield spectra were used to calculate photochemical removal rates of DMS for surface waters of the northeast subarctic Pacific during the SERIES mesoscale iron-fertilization experiment in July 2002. We observed that the UV portion of the solar spectrum was most important in inducing DMS photo-oxidation, and calculated that UV-B accounted for more than 20% and UV-A for more than 68% of the total DMS photo-oxidation near the sea surface. Vertically resolved rates showed that most (&gt; 90%) of the DMS photo-oxidation occurs in the upper 15 m of the water column. During the study, calculated rates of DMS photo-oxidation, just below the ocean's surface ranged from 0.34 to 5.9 mu mol m(-3) d(-1). As the study progressed, an initial increase in photo-oxidation rates occurred within the iron-enriched patch and this was followed by a dramatic decrease in rates, whereas little change was observed outside the patch. Changes in DMS concentrations and decreases in the photochemical removal efficiency for DMS were the dominant factors explaining the variation in the DMS photo-oxidation rates. The turnover rate constants for DMS photo-oxidation, calculated for the upper mixed layer (UML) of the water column, (0.03-0.25 d(-1)) were in the range of those previously published and were at times higher than those calculated for biological consumption of DMS during SERIES. Our results suggest that iron fertilization of an oceanic patch in the northeast Pacific Ocean considerably altered the photochemical removal rates and turnover rate constants of DMS. (c) 2006 Elsevier Ltd. All rights reserved.</t>
  </si>
  <si>
    <t>Dalhousie Univ, Dept Oceanog, Halifax, NS B3H 4J1, Canada; Fisheries &amp; Oceans Canada, Maurice Lamontagne Inst, Mont Joli, PQ G5H 3Z4, Canada; Univ Laval, Dept Biol, Ste Foy, PQ G1K 7P4, Canada</t>
  </si>
  <si>
    <t>Dalhousie University; Fisheries &amp; Oceans Canada; Laval University</t>
  </si>
  <si>
    <t>Bouillon, RC (corresponding author), Univ Toronto, Dept Chem, Toronto, ON M5S 3H6, Canada.</t>
  </si>
  <si>
    <t>rbouillo@chem.utoronto.ca</t>
  </si>
  <si>
    <t>Ziolkowski, Lori/C-6752-2012</t>
  </si>
  <si>
    <t>Ziolkowski, Lori/0000-0002-1799-385X</t>
  </si>
  <si>
    <t>20-22</t>
  </si>
  <si>
    <t>10.1016/j.dsr2.2006.05.024</t>
  </si>
  <si>
    <t>121VN</t>
  </si>
  <si>
    <t>WOS:000243185200022</t>
  </si>
  <si>
    <t>Leat, PT; Luttinen, AV; Storey, BC; Millar, IL</t>
  </si>
  <si>
    <t>Hanski, E; Mertanen, S; Ramo, T; Vuollo, J</t>
  </si>
  <si>
    <t>Leat, P. T.; Luttinen, A. V.; Storey, B. C.; Millar, I. L.</t>
  </si>
  <si>
    <t>Sills of the Theron Mountains, Antarctica: Evidence for long distance transport of mafic magmas during Gondwana break-up</t>
  </si>
  <si>
    <t>DYKE SWARMS - TIME MARKERS OF CRUSTAL EVOLUTION</t>
  </si>
  <si>
    <t>Proceedings and Monographs in Engineering Water and Earth Sciences</t>
  </si>
  <si>
    <t>5th International Dyke Conference (IDC-5)</t>
  </si>
  <si>
    <t>JUL 31-AUG 03, 2005</t>
  </si>
  <si>
    <t>Rovaniemi, FINLAND</t>
  </si>
  <si>
    <t>DRONNING-MAUD-LAND; NORTH VICTORIA-LAND; SUBCONTINENTAL MANTLE; PENSACOLA MOUNTAINS; TRIPLE JUNCTION; DOLERITE DYKES; FLOOD BASALTS; FERRAR GROUP; KAROO; AGE</t>
  </si>
  <si>
    <t>The Theron Mountains, Antarctica expose Jurassic mafic sills intruded into flatlying Permian sedimentary rocks. The sills form some 30% of the outcrop and most are highly concordant, although there are a few cross-cutting relationships. New fieldwork and analytical data suggest that there are four types of sills. The most abundant group chemically correlates with the Mount Fazio Chemical Type of Ferrar tholeiites from Victoria Land, and a second correlates with the distinctive Scarab Peak Chemical Type of Ferrar tholeiites. Two other chemical groups are compositionally close to certain low-Ti-Zr and high-Fe, high Ti-Zr lavas and intrusions in the central Lebombo Monocline and in Dronning Maud Land. The sills provide evidence for long-distance transport of magmas during initial stages of Gondwana break-up.</t>
  </si>
  <si>
    <t>[Leat, P. T.] British Antarctic Survey, High Cross, Cambridge CB3 0ET, England; [Luttinen, A. V.] Univ Helsinki, Dept Geol, Helsinki, Finland; [Storey, B. C.] Univ Canterbury, Gateway Antarctica, Christchurch, New Zealand; [Millar, I. L.] British Antarctic Survey, NERC Isotope Geosci Lab, Nottingham, England</t>
  </si>
  <si>
    <t>UK Research &amp; Innovation (UKRI); Natural Environment Research Council (NERC); NERC British Antarctic Survey; University of Helsinki; University of Canterbury; UK Research &amp; Innovation (UKRI); Natural Environment Research Council (NERC); NERC British Geological Survey; NERC British Antarctic Survey</t>
  </si>
  <si>
    <t>Leat, PT (corresponding author), British Antarctic Survey, High Cross, Cambridge CB3 0ET, England.</t>
  </si>
  <si>
    <t>Millar, Ian L/F-1541-2010</t>
  </si>
  <si>
    <t>Luttinen, Arto Vesa/0000-0002-3129-0392</t>
  </si>
  <si>
    <t>Academy of Finland [43922]</t>
  </si>
  <si>
    <t>Academy of Finland(Research Council of Finland)</t>
  </si>
  <si>
    <t>We thank BAS logistics and staff for input to the Theron Mountains through Rothera and Halley stations. We are grateful to the United States Antarctic Program (USAP) for supply of fuel. A.V. Luttinen was funded by the Academy of Finland (grant No. 43922). We thank D. Elliot for a constructive review of the paper.</t>
  </si>
  <si>
    <t>LONDON</t>
  </si>
  <si>
    <t>11 NEW FETTER LANE, LONDON EC4P 4EE, ENGLAND</t>
  </si>
  <si>
    <t>0-415-39899-1</t>
  </si>
  <si>
    <t>PROC MONOGR ENG WATE</t>
  </si>
  <si>
    <t>+</t>
  </si>
  <si>
    <t>Geochemistry &amp; Geophysics; Geology</t>
  </si>
  <si>
    <t>BFM91</t>
  </si>
  <si>
    <t>WOS:000243129100013</t>
  </si>
  <si>
    <t>Luttinen, AV; Vuori, SK</t>
  </si>
  <si>
    <t>Luttinen, A. V.; Vuori, S. K.</t>
  </si>
  <si>
    <t>Geochemical correlations between Jurassic gabbros and basaltic rocks in Vestfjella, Dronning Maud Land, Antarctica</t>
  </si>
  <si>
    <t>KAROO IGNEOUS PROVINCE; TRACE-ELEMENT; FLOOD BASALTS; PETROGENESIS; LITHOSPHERE</t>
  </si>
  <si>
    <t>Mafic plutonic rocks crosscut Jurassic Karoo-related flood basalts of Dronning Maud Land at Muren and Utpostane, southern Vestfjella. Both localities are dominated by gabbroic cumulates. Gabbroic rocks with least cumulus minerals have been compared with associated basaltic lavas and dykes. At Muren, the gabbros are most similar to low-Ti and -Zr basalts, more specifically the CT1 subtype of Vestfjella. They exhibit crust-like mantle-normalized incompatible element patterns with negative Nb, Ta, and Ti anomalies, high La/Sm (4.5-4.6), Th/Ta (6.4-6.6) and ss, (+48, +50) values coupled with low Ti/Zr (45-50), and Ti/P (9.8-10.9), and epsilon(Nd)(-15.6, -15.8) values. The Utpostane gabbros show closest affinity to CT2 basalts and dykes. Their characteristic features include relatively low La/Sm (3.0-3.3) and high Ti/Zr (84-92) combined with variable Ti/P (6.6-11.4), positive ss, (+ 10, + 13), high Th/Ta (2.7-3.8), and near-chondritic epsilon(Nd) (-2.2, -2.6). Geochemical comparison shows that the plutonic rocks at Muren and Utpostane represent two mafic intrusions with different kinds of parental magmas. Although the igneous activity is believed to have occurred within a short interval (183 +/- 3 Ma), the exceptionally low Sm/Lu at Utpostane suggest that its emplacement post-dated that of Muren and most of the associated basalts and dykes and that magmatism during the initial break-up of Gondwana was at least locally associated with significant lithospheric thinning.</t>
  </si>
  <si>
    <t>[Luttinen, A. V.] Univ Helsinki, Dept Geol, Helsinki, Finland; [Vuori, S. K.] Geol Survey Finland, Espoo, Finland</t>
  </si>
  <si>
    <t>University of Helsinki; Geological Survey of Finland (GTK)</t>
  </si>
  <si>
    <t>Luttinen, AV (corresponding author), Univ Helsinki, Dept Geol, Helsinki, Finland.</t>
  </si>
  <si>
    <t>Academy of Finland [43922]; Finnish Antarctic Research Program</t>
  </si>
  <si>
    <t>Academy of Finland(Research Council of Finland); Finnish Antarctic Research Program</t>
  </si>
  <si>
    <t>We thank Mika Raisanen for providing gabbro samples, Hannu Huhma and Arto Pulkkinen from the Geological Survey of Finland for help with isotopic analyses, Phil Leat, Brent Elliott, and Goonie Marsh for their constructive comments on the manuscript, and Peter Hooper, Diane Johnson, and Charles Knaack from the Washington State University for careful geoanalytical work. The Finnish Antarctic Research Program funded our fieldwork. The study has been funded by the Academy of Finland (Grant No. 43922).</t>
  </si>
  <si>
    <t>WOS:000243129100014</t>
  </si>
  <si>
    <t>Grantham, GH; Armstrong, RA; Moyes, AB</t>
  </si>
  <si>
    <t>Grantham, G. H.; Armstrong, R. A.; Moyes, A. B.</t>
  </si>
  <si>
    <t>The geology of a rnafic dyke at Roerkulten, Sverdrupfjella, western Dronning Maud Land, Antarctica</t>
  </si>
  <si>
    <t>U-PB AGES; ISOTOPIC CONSTRAINTS; HU-SVERDRUPFJELLA; MOZAMBIQUE BELT; METAMORPHISM; TECTONISM; EVOLUTION</t>
  </si>
  <si>
    <t>The mafic dyke is metamorphosed to amphibolite-facies and is calc-alkaline with intermediate SiO2 (similar to 56%) and high Al2O3 and TiO2 and is transitional between basaltic to andesitic compositions. The dyke has high Sr, Zr and Ba contents. The steep chondrite-normalised REE profile has a small negative Eu anomaly. The dyke cross-cuts S 1 planar fabrics but contains a S-2 planar fabric which is folded by F-3. A weak axial planar F-3 fabric is seen. U-Pb SHRIMP zircon data plot near concordantly at the lower intercept suggesting extensive recrystallisation at 523 +/- 21 Ma and primary crystallisation at similar to 900 Ma (upper intercept). Whole rock Rb-Sr data suggest a age of similar to 748 +/- 102 Ma. Whole rock Sm/Nd data only yield model ages of 1107 Ma (T-CHUR) and 1468 Ma (T-DM) with a mean epsilon(Nd) value of -2.9. Previously published Rb-Sr isotope data suggest mineral scale resetting at similar to 460-500 Ma. The data suggest dyke intrusion at similar to 900-1000 Ma and folding and metamorphism at similar to 460-530 Ma. The asymmetry of the folds and the sense of shear on reverse faults elsewhere in Sverdrupfjella indicate tectonic vergence to the southeast. This vergence sense is consistent with similar to 490 Ma age structures in northern Mozambique which was adjacent to Antarctica prior to Gondwana dispersal.</t>
  </si>
  <si>
    <t>[Grantham, G. H.] Council Geosci, Pretoria, South Africa; [Armstrong, R. A.] Australian Natl Univ, RSES, Canberra, ACT, Australia; [Moyes, A. B.] Anglo Amer Plc, Johannesburg, South Africa</t>
  </si>
  <si>
    <t>Australian National University</t>
  </si>
  <si>
    <t>Grantham, GH (corresponding author), Council Geosci, Pretoria, South Africa.</t>
  </si>
  <si>
    <t>Armstrong, Richard/AAT-3953-2020; Moyes, Andrew B/J-3339-2016; Grantham, Geoffrey/M-8637-2014</t>
  </si>
  <si>
    <t>Armstrong, Richard/0000-0001-9479-0143; Grantham, Geoffrey/0000-0001-9862-0547</t>
  </si>
  <si>
    <t>Department of Environmental Affairs and Tourism in South Africa</t>
  </si>
  <si>
    <t>We would like to acknowledge funding and logistical support from The Department of Environmental Affairs and Tourism in South Africa who are responsible for administering and funding Antarctic research in South Africa. The logistical support of the helicopter support of the South African Air Force is also gratefully acknowledged. We would like to acknowledge the Dave Reid and an anonymous referee for their contributions toward improving the manuscript as well as the organisors of IDC5 for facilitating contributions from IDC4.</t>
  </si>
  <si>
    <t>WOS:000243129100015</t>
  </si>
  <si>
    <t>Broberg, SE; Aumann, HH; Gregorich, DT; Xiong, X</t>
  </si>
  <si>
    <t>Butler, JJ; Xiong, J</t>
  </si>
  <si>
    <t>Broberg, Steven E.; Aumann, Hartmut H.; Gregorich, David T.; Xiong, X.</t>
  </si>
  <si>
    <t>Evaluation of AIRS, MODIS, and HIRS 11 micron brightness temperature difference changes from 2002 through 2006</t>
  </si>
  <si>
    <t>EARTH OBSERVING SYSTEMS XI</t>
  </si>
  <si>
    <t>Conference on Earth Observing Systems XI</t>
  </si>
  <si>
    <t>AUG 14-16, 2006</t>
  </si>
  <si>
    <t>San Diego, CA</t>
  </si>
  <si>
    <t>AIRS; MODIS; HIRS; spectrometer; radiometer; validation</t>
  </si>
  <si>
    <t>In an effort to validate the accuracy and stability of AIRS data at low scene temperatures (200-250 K range), we evaluated brightness temperatures at 11 microns with Aqua MODIS band 31 and HIRS/3 channel 8 for Antarctic granules between September 2002 and May 2006. We found excellent agreement with MODIS (at the 0.2 K level) over the full temperature range in data from early in the Aqua mission. However, in more recent data, starting in April 2005, we found a scene temperature dependence in MODIS-AIRS brightness temperature differences, with a discrepancy of 1-1.5 K at 200 K. The comparison between AIRS and HIRS/3 (channel 8) on NOAA 16 for the same time period yields excellent agreement. The cause and time dependence of the disagreement with MODIS is under evaluation, but the change was coincident with a change in the MODIS production software from collection 4 to 5. AIRS and MODIS (Flight Model 1) are onboard the EOS Aqua spacecraft, launched into a 1:30 PM polar orbit on May 4, 2002. AIRS has 2378 infrared channels with high spectral resolution (1200) covering the 3.7 to 15.4 micron wavelength range, with a nominal spatial resolution of 13.5 km. MODIS has 36 relatively broad spectral bands with spatial resolution of 1 krn for the LWIR bands. HIRS/3 is onboard NOAA-16 (L), launched into a 2:00 PM polar orbit on Sep. 21, 2000.</t>
  </si>
  <si>
    <t>[Broberg, Steven E.; Aumann, Hartmut H.; Gregorich, David T.] CALTECH, Jet Prop Lab, 4800 Oak Grove Dr, Pasadena, CA 91109 USA; [Xiong, X.] NASA, Goddard Space Flight Ctr, Earth Sci Directorate, Greenbelt, MD 20771 USA</t>
  </si>
  <si>
    <t>National Aeronautics &amp; Space Administration (NASA); NASA Jet Propulsion Laboratory (JPL); California Institute of Technology; National Aeronautics &amp; Space Administration (NASA); NASA Goddard Space Flight Center</t>
  </si>
  <si>
    <t>Broberg, SE (corresponding author), CALTECH, Jet Prop Lab, 4800 Oak Grove Dr, Pasadena, CA 91109 USA.</t>
  </si>
  <si>
    <t>sbroberg@jpl.nasa.gov</t>
  </si>
  <si>
    <t>Xiong, Xiaoxiong (Jack)/J-9869-2012</t>
  </si>
  <si>
    <t>0-8194-6375-2</t>
  </si>
  <si>
    <t>62960J</t>
  </si>
  <si>
    <t>10.1117/12.681049</t>
  </si>
  <si>
    <t>Instruments &amp; Instrumentation; Remote Sensing; Imaging Science &amp; Photographic Technology</t>
  </si>
  <si>
    <t>BFI34</t>
  </si>
  <si>
    <t>WOS:000241988000018</t>
  </si>
  <si>
    <t>Ohzono, M; Tabei, T; Doi, K; Shibuya, K; Sagiya, T</t>
  </si>
  <si>
    <t>Ohzono, Mako; Tabei, Takao; Doi, Koichiro; Shibuya, Kazuo; Sagiya, Takeshi</t>
  </si>
  <si>
    <t>Crustal movement of antarctica and syowa station based on GPS measurements</t>
  </si>
  <si>
    <t>EARTH PLANETS AND SPACE</t>
  </si>
  <si>
    <t>GPS; Antarctica; Syowa Station; crustal movement; plate motion</t>
  </si>
  <si>
    <t>GLOBAL POSITIONING SYSTEM; PLATE MOTION MODEL; SEA-LEVEL CHANGE; LATE PLEISTOCENE; ICE-SHEET; MELTING HISTORY; VELOCITIES; DEFORMATION; PREDICTIONS; PENINSULA</t>
  </si>
  <si>
    <t>In Antarctica, sea level rise and crustal uplift have occurred due to ice sheet melting and mantle response since the Last Glacial Maximum (LGM). The International GNSS Service (IGS) provides continuous data at nine sites on the Antarctic plate, and we analyzed data obtained from these sites between 1998 and 2003. Additional data were acquired by campaign observations around Syowa Station carried out by the Japanese Antarctic Research Expedition (JARE). Five sites around Syowa Station have been repeatedly occupied since 1098. Our analysis of the IGS data demonstrates that the Antarctic continent behaves as a rigid plate. Vertical components indicate an uplift of about 1.3-7.0 mm/year at almost all sites, which are attributed to the postglacial rebound. However, some observed velocities disagree with the predictions of glacial isostatic adjustment (GIA) models. It will be necessary to incorporate our results into the modeling of ice sheet melting. Around Syowa Station, the campaign GPS result is basically consistent with the IGS data analysis, thereby demonstrating that GPS observations properly represent the ongoing crustal movement around Syowa Station. However, the GPS results show some disagreement with the VLBI observations; this discrepancy will need to be sorted out using local tie observations that should be carried out in the near future.</t>
  </si>
  <si>
    <t>Nagoya Univ, Grad Sch Environm Studies, Chikusa Ku, Nagoya, Aichi 4648602, Japan; Kochi Univ, Dept Nat Environm Sci, Kochi 7808520, Japan; Natl Inst Polar Res, Itabashi Ku, Tokyo 1738515, Japan</t>
  </si>
  <si>
    <t>Nagoya University; Kochi University; Research Organization of Information &amp; Systems (ROIS); National Institute of Polar Research (NIPR) - Japan</t>
  </si>
  <si>
    <t>Ohzono, M (corresponding author), Nagoya Univ, Grad Sch Environm Studies, Chikusa Ku, Furo Cho, Nagoya, Aichi 4648602, Japan.</t>
  </si>
  <si>
    <t>ohzono@seis.nagoya-u.ac.jp</t>
  </si>
  <si>
    <t>Sagiya, Takeshi/N-8417-2018</t>
  </si>
  <si>
    <t>Sagiya, Takeshi/0000-0001-7949-8048</t>
  </si>
  <si>
    <t>TERRA SCIENTIFIC PUBL CO</t>
  </si>
  <si>
    <t>TOKYO</t>
  </si>
  <si>
    <t>2003 SANSEI JIYUGAOKA HAIMU, 5-27-19 OKUSAWA, SETAGAYA-KU, TOKYO, 158-0083, JAPAN</t>
  </si>
  <si>
    <t>1343-8832</t>
  </si>
  <si>
    <t>EARTH PLANETS SPACE</t>
  </si>
  <si>
    <t>Earth Planets Space</t>
  </si>
  <si>
    <t>10.1186/BF03351984</t>
  </si>
  <si>
    <t>Geosciences, Multidisciplinary</t>
  </si>
  <si>
    <t>Geology</t>
  </si>
  <si>
    <t>072BU</t>
  </si>
  <si>
    <t>hybrid</t>
  </si>
  <si>
    <t>WOS:000239648400001</t>
  </si>
  <si>
    <t>Vos, M; Vet, LEM; Wäckers, FL; Middelburg, JJ; van der Putten, WH; Mooij, WM; Heip, CHR; van Donk, E</t>
  </si>
  <si>
    <t>Vos, Matthijs; Vet, Louise E. M.; Wackers, Felix L.; Middelburg, Jack J.; van der Putten, Wim H.; Mooij, Wolf M.; Heip, Carlo H. R.; van Donk, Ellen</t>
  </si>
  <si>
    <t>Infochemicals structure marine, terrestrial and freshwater food webs:: Implications for ecological informatics</t>
  </si>
  <si>
    <t>ECOLOGICAL INFORMATICS</t>
  </si>
  <si>
    <t>biodiversity; biological control; climate; dimethyl sulphide; global warming; individual based models; information networks in ecosystems; integration of laboratory and field data; learning; linking levels of ecological organization; lake restoration; phenotypic plasticity; trait-mediated interactions</t>
  </si>
  <si>
    <t>ANTARCTIC PROCELLARIIFORM SEABIRDS; DIMETHYL SULFIDE; INDUCIBLE DEFENSES; POPULATION-DYNAMICS; TRITROPHIC SYSTEM; FORAGING SUCCESS; COTESIA-RUBECULA; PARASITIC WASPS; PLANT VOLATILES; NATURAL ENEMIES</t>
  </si>
  <si>
    <t>Here we consider how information transfer shapes interactions in aquatic and terrestrial food webs. All organisms, whether they are dead or alive, release certain chemicals into their environment. These can be used as infochemicals by any other individual in the food web that has the biological machinery to sense and process such information. Such machinery has evolved in bacteria, plants and animals and has thus become an inextricable part of the mechanisms that underlie feeding relations in food webs. Organisms live in environments suffused with infochemicals and this information network can be tapped into by both predators and their prey. However, it also opens doors to confusion in the face of a bewildering abundance and complexity of information. Infochemical mixing, masking, crypsis and mimicry could cause such confusion, especially in species-rich communities. We provide a point of entry into this field of enquiry by identifying seminal papers and major reviews and by discussing research lines that might enhance our mechanistic understanding of interactions in food webs. We highlight empirical work on the ways in which individuals use infochemicals and discuss model results on how this mediates patterns of population dynamics. We consider implications for ecosystem management and indicate how classical models and novel approaches from ecological informatics may contribute to linking the levels of individuals, populations and communities and their interactions with abiotic structuring forces in ecosystems. (c) 2005 Elsevier B.V. All rights reserved.</t>
  </si>
  <si>
    <t>Netherlands Inst Ecol, NIOO, KNAW, Ctr Estuarine &amp; Marine Ecol, NL-4401 NT Yerseke, Netherlands; Netherlands Inst Ecol, NIOO, KNAW, Ctr Terr Ecol, NL-6666 GA Heteren, Netherlands; Netherlands Inst Ecol, NIOO, KNAW, Ctr Limnol, NL-3631 AC Nieuwersluis, Netherlands</t>
  </si>
  <si>
    <t>Royal Netherlands Academy of Arts &amp; Sciences; Netherlands Institute of Ecology (NIOO-KNAW); Royal Netherlands Academy of Arts &amp; Sciences; Netherlands Institute of Ecology (NIOO-KNAW); Royal Netherlands Academy of Arts &amp; Sciences; Netherlands Institute of Ecology (NIOO-KNAW)</t>
  </si>
  <si>
    <t>Vos, M (corresponding author), Netherlands Inst Ecol, NIOO, KNAW, Ctr Estuarine &amp; Marine Ecol, Korringaweg 7, NL-4401 NT Yerseke, Netherlands.</t>
  </si>
  <si>
    <t>m.vos@nioo.knaw.nl</t>
  </si>
  <si>
    <t>Middelburg, Jack/B-4951-2011; Heip, Carlo/C-2446-2009; Vet, Louise E.M./B-1342-2009; van Donk, Ellen/B-7272-2008; Vos, Matthijs/B-3802-2009; van der Putten, Wim/C-3707-2011; Mooij, Wolf/C-2677-2008</t>
  </si>
  <si>
    <t>Middelburg, Jack/0000-0003-3601-9072; Vet, Louise E.M./0000-0002-2287-1128; van Donk, Ellen/0000-0003-3279-4936; van der Putten, Wim/0000-0002-9341-4442; Mooij, Wolf/0000-0001-5586-8200</t>
  </si>
  <si>
    <t>ELSEVIER SCIENCE BV</t>
  </si>
  <si>
    <t>AMSTERDAM</t>
  </si>
  <si>
    <t>PO BOX 211, 1000 AE AMSTERDAM, NETHERLANDS</t>
  </si>
  <si>
    <t>1574-9541</t>
  </si>
  <si>
    <t>ECOL INFORM</t>
  </si>
  <si>
    <t>Ecol. Inform.</t>
  </si>
  <si>
    <t>10.1016/j.ecoinf.2005.06.001</t>
  </si>
  <si>
    <t>Ecology</t>
  </si>
  <si>
    <t>Environmental Sciences &amp; Ecology</t>
  </si>
  <si>
    <t>144GU</t>
  </si>
  <si>
    <t>WOS:000244785300004</t>
  </si>
  <si>
    <t>Terauds, A; Gales, R; Baker, GB; Alderman, R</t>
  </si>
  <si>
    <t>Terauds, Aleks; Gales, Rosemary; Baker, G. Barry; Alderman, Rachael</t>
  </si>
  <si>
    <t>Population and survival trends of Wandering Albatrosses (Diomedea exulans) breeding on Macquarie Island</t>
  </si>
  <si>
    <t>EMU-AUSTRAL ORNITHOLOGY</t>
  </si>
  <si>
    <t>AMSTERDAM ALBATROSS; SEABIRD MORTALITY; LONGLINE FISHERY; D-CHRYSOSTOMA; BIRD-ISLAND; DYNAMICS; IMPACT; CONSEQUENCES; CONSERVATION; MELANOPHRYS</t>
  </si>
  <si>
    <t>Wandering Albatrosses (Diomedea exulans) are globally threatened owing to declines in populations, and the breeding population of Macquarie Island is particularly vulnerable as it comprises fewer than 20 breeding pairs. We describe population trends of Macquarie Island Wandering Albatrosses between 1955 and 2004, combining long-term population data with demographic data collected between 1995 and 2004. Rates of annual breeding effort and survival varied markedly over time and breeding numbers declined from a peak in 1968 to near extinction in the mid-1980s. Underlying this decline was a significant decrease in juvenile survival and, to a lesser extent, adult survival. These changes in survival coincided with changes in long-line fishing effort in the Southern Ocean. Breeding numbers slowly recovered on Macquarie Island through the late 1980s and 1990s, reaching a total of 19 breeding pairs in the mid-1990s. The population remained at about this level in 2004. Relative trends in numbers and survival in the population are similar to those observed in other populations in the Indian Ocean, including Marion Island and Iles Crozet.</t>
  </si>
  <si>
    <t>Australian Antarctic Div, Kingston, Tas 7050, Australia; Univ Tasmania, Sandy Bay, Tas 7005, Australia; Dept Primary Ind Water &amp; Environm, Biodivers Conservat Branch, Hobart, Tas 7000, Australia</t>
  </si>
  <si>
    <t>Australian Antarctic Division; University of Tasmania</t>
  </si>
  <si>
    <t>Baker, GB (corresponding author), Australian Antarctic Div, Channel Highway, Kingston, Tas 7050, Australia.</t>
  </si>
  <si>
    <t>barry.baker@aad.gov.au</t>
  </si>
  <si>
    <t>Terauds, Aleks/A-4991-2010</t>
  </si>
  <si>
    <t>Baker, G. Barry/0000-0003-4766-8182; Terauds, Aleks/0000-0001-7804-6648</t>
  </si>
  <si>
    <t>TAYLOR &amp; FRANCIS AUSTRALIA</t>
  </si>
  <si>
    <t>MELBOURNE</t>
  </si>
  <si>
    <t>LEVEL 2, 11 QUEENS RD, MELBOURNE, VIC 3004, AUSTRALIA</t>
  </si>
  <si>
    <t>0158-4197</t>
  </si>
  <si>
    <t>1448-5540</t>
  </si>
  <si>
    <t>EMU</t>
  </si>
  <si>
    <t>Emu</t>
  </si>
  <si>
    <t>10.1071/MU06007</t>
  </si>
  <si>
    <t>Ornithology</t>
  </si>
  <si>
    <t>074NT</t>
  </si>
  <si>
    <t>WOS:000239819800006</t>
  </si>
  <si>
    <t>Low, M</t>
  </si>
  <si>
    <t>Low, Matthew</t>
  </si>
  <si>
    <t>Sex, age and season influence morphometrics in the New Zealand Stitchbird (or Hihi; Notiomystis cincta)</t>
  </si>
  <si>
    <t>FORCED COPULATION; WEIGHT; BLACKBIRDS; MALES; SIZE</t>
  </si>
  <si>
    <t>While it is generally considered that males and females have different body measurements, other factors may be important in affecting the uniformity of morphometric parameters within populations. In this 4-year longitudinal study I examined the influence of sex, age and time of year on five body measurements in the Stitchbird ( or Hihi ( Notiomystis cincta)): ( 1) tarsal length, ( 2) total head-length, ( 3) wing-length, ( 4) length of ear-tuft, and ( 5) weight. As with previous analyses of Stitchbird morphometrics, males were significantly larger and heavier than females. However, the age of birds and the time of year significantly affected several body measures. Tarsus was the most stable measure, remaining unchanged after 21 days of age. Wings were the least stable, being significantly affected by sex ( females smaller than males), age ( 1-year-olds smaller than 2-year-olds, which were smaller than 3-year-olds) and season ( with wing-length pre-moult smaller than wing-length post-moult). Differences between age-classes within the population reflected changes in individuals over time, with individuals having progressively longer wings and ear-tufts as they aged. Male and female Stitchbirds showed significant seasonal variation in body-weight, with weight reaching a maximum in winter and a minimum during the spring - summer breeding season. While the starvation - predation hypothesis commonly explains seasonal fluctuations in weight of birds, Stitchbirds lose weight during the coldest part of the year, immediately before the breeding season. This change in weight potentially maximises their agility when competing for mates in a mating system characterised by intense sperm competition.</t>
  </si>
  <si>
    <t>Massey Univ, Ecol Grp, Palmerston North, New Zealand</t>
  </si>
  <si>
    <t>Massey University</t>
  </si>
  <si>
    <t>Low, M (corresponding author), Australian Antarctic Div, So Ocean Ecosyst Program, 203 Channel Highway, Kingston, Tas 7050, Australia.</t>
  </si>
  <si>
    <t>matt.low@aad.gov.au</t>
  </si>
  <si>
    <t>Low, Matthew/D-2292-2013</t>
  </si>
  <si>
    <t>Low, Matthew/0000-0002-7345-6063</t>
  </si>
  <si>
    <t>10.1071/MU06003</t>
  </si>
  <si>
    <t>105PC</t>
  </si>
  <si>
    <t>WOS:000242043100005</t>
  </si>
  <si>
    <t>Phillips, RA</t>
  </si>
  <si>
    <t>Phillips, Richard A.</t>
  </si>
  <si>
    <t>Efficacy and effects of diet sampling of albatross chicks</t>
  </si>
  <si>
    <t>REARING CHICKS; SOUTH GEORGIA; FORAGING STRATEGIES; PETRELS; KERGUELEN; FISHERIES; SEABIRDS; ISLANDS; SEGREGATION; CHRYSOSTOMA</t>
  </si>
  <si>
    <t>Although a variety of techniques ( including water-offloading, and spontaneous and induced regurgitation) are used routinely to obtain fresh stomach samples from seabirds, there have been few studies of their efficacy or potential deleterious effects. In this study, sampling of Black-browed ( Thalassarche melanophrys) and Grey-headed ( T. chrysostoma) Albatross chicks by induced regurgitation had no effect on subsequent survival or fledging mass. In addition, the samples obtained were large ( on average, 676 g and 756 g, respectively, which was 19% and 23% heavier than the average meal mass in a previous study). Notwithstanding the analytical biases associated with differential prey-digestion rates ( which also apply to samples from adults), the advantages of this technique are that it is non-invasive, rapid (&lt; 1 min), requires minimal training and, compared with handling of adults, does not entail a desertion risk. Induced regurgitation of chicks is therefore highly recommended for routine monitoring of diet in Procellariiformes.</t>
  </si>
  <si>
    <t>Phillips, RA (corresponding author), British Antarctic Survey, NERC, High Cross,Madingley Rd, Cambridge CB3 0ET, England.</t>
  </si>
  <si>
    <t>raphil@bas.ac.uk</t>
  </si>
  <si>
    <t>10.1071/MU06035</t>
  </si>
  <si>
    <t>WOS:000242043100006</t>
  </si>
  <si>
    <t>Blay, S; Bubna-Litic, K</t>
  </si>
  <si>
    <t>Blay, Sam; Bubna-Litic, Karen</t>
  </si>
  <si>
    <t>The interplay of international law and domestic law: The case of Australia's efforts to protect whales</t>
  </si>
  <si>
    <t>ENVIRONMENTAL AND PLANNING LAW JOURNAL</t>
  </si>
  <si>
    <t>Whaling in general, and Japanese scientific whaling in particular, is a vexed issue that requires urgent attention. There seems to be insufficient international support for the conservation of whales. Australia's attempts to outlaw whaling in the AWS with the EPBC Act therefore stands out as a laudable step that should be emulated by the rest of the international community. Whaling in international waters, however, is an international issue. It is therefore doubtful if Australia can use the EPBC Act to archive the objective of protecting whales in the Antarctic without breaching its international obligations. In the struggle to achieve an international ban on commercial whaling, the case of Humane Society International v Kyodo Senpaku Kaisha Ltd is thus hardly a victory. The courtroom is not an appropriate battlefield if Australia is to win the battle to stop commercial whaling. The environmental movement needs to rethink its strategies with a new focus on international law and diplomacy.</t>
  </si>
  <si>
    <t>[Blay, Sam; Bubna-Litic, Karen] UTS, Law, Ultimo, NSW, Australia</t>
  </si>
  <si>
    <t>University of Technology Sydney</t>
  </si>
  <si>
    <t>Blay, S (corresponding author), UTS, Law, Ultimo, NSW, Australia.</t>
  </si>
  <si>
    <t>LAWBOOK CO LTD</t>
  </si>
  <si>
    <t>PYRMONT</t>
  </si>
  <si>
    <t>LEVEL 6, 19 HARRIS ST, PYRMONT, NSW 2009, AUSTRALIA</t>
  </si>
  <si>
    <t>0813-300X</t>
  </si>
  <si>
    <t>ENVIRON PLAN LAW J</t>
  </si>
  <si>
    <t>Environ. Plan. Law J.</t>
  </si>
  <si>
    <t>Law</t>
  </si>
  <si>
    <t>Emerging Sources Citation Index (ESCI)</t>
  </si>
  <si>
    <t>Government &amp; Law</t>
  </si>
  <si>
    <t>V02RT</t>
  </si>
  <si>
    <t>WOS:000213687600005</t>
  </si>
  <si>
    <t>Pakchung, AAH; Simpson, PJL; Codd, R</t>
  </si>
  <si>
    <t>Pakchung, Amalie A. H.; Simpson, Philippa J. L.; Codd, Rachel</t>
  </si>
  <si>
    <t>Life on earth. Extremophiles continue to move the goal posts</t>
  </si>
  <si>
    <t>ENVIRONMENTAL CHEMISTRY</t>
  </si>
  <si>
    <t>biomolecular adaptation; biotechnology; geomicrobiology; metals</t>
  </si>
  <si>
    <t>POLYUNSATURATED FATTY-ACIDS; UPPER TEMPERATURE LIMIT; EAST PACIFIC RISE; METHANOCOCCOIDES-BURTONII; CRYSTAL-STRUCTURE; ANTARCTIC ARCHAEON; COLD ADAPTATION; ALPHA-AMYLASE; DEINOCOCCUS-RADIODURANS; CITRATE SYNTHASE</t>
  </si>
  <si>
    <t>The discovery of an abundance of microorganisms that flourish in a diverse range of environments, from the frigid waters of the Antarctic, to the superheated waters of the hydrothermal vents, at the bottom of 11-km deep ocean trenches and in salt-saturated lakes, has fuelled research aimed to understand the novel survival strategies evolved by these extreme-loving (extremophilic) organisms. Adaptations of biomolecules (proteins, nucleic acids, membranes and small molecules) evolved by extremophiles are wide ranging. Compared with a protein from a 'regular' organism, the extremophilic analogue might feature changes to the relative frequencies of amino acid residues that modulate the properties (e.g. conformational flexibility and stability) of the protein under conditions of the specific environmental challenge. The integrity of RNA and DNA from extremophiles may be maintained by subtle structural changes to RNA nucleobases and, in the case of (hyper)thermophiles, the expression of the enzyme reverse gyrase, which catalyses positive DNA supercoiling. The expression of small molecular weight heat-shock or related caretaker proteins also features as a common adaptive strategy for maintaining cell viability at environmental extremes. Membrane architecture in extremophiles can be modulated by the environmental temperature, with additional thermal stability in membranes from some hyperthermophiles conferred by novel (cyclised) lipid chains. In addition, a selection of osmolytes and small molecules are biosynthesised or sequestered by extremophilic organisms that have adapted to conditions of high salt and/or micronutrient deprivation.</t>
  </si>
  <si>
    <t>Univ Sydney, Sch Chem, Ctr Heavy Met Res, Sydney, NSW 2006, Australia</t>
  </si>
  <si>
    <t>University of Sydney</t>
  </si>
  <si>
    <t>Codd, R (corresponding author), Univ Sydney, Sch Chem, Ctr Heavy Met Res, Sydney, NSW 2006, Australia.</t>
  </si>
  <si>
    <t>r.codd@chem.usyd.edu.au</t>
  </si>
  <si>
    <t>Codd, Rachel/C-1202-2012</t>
  </si>
  <si>
    <t>Codd, Rachel/0000-0002-2703-883X</t>
  </si>
  <si>
    <t>CSIRO PUBLISHING</t>
  </si>
  <si>
    <t>CLAYTON</t>
  </si>
  <si>
    <t>UNIPARK, BLDG 1, LEVEL 1, 195 WELLINGTON RD, LOCKED BAG 10, CLAYTON, VIC 3168, AUSTRALIA</t>
  </si>
  <si>
    <t>1448-2517</t>
  </si>
  <si>
    <t>1449-8979</t>
  </si>
  <si>
    <t>ENVIRON CHEM</t>
  </si>
  <si>
    <t>Environ. Chem.</t>
  </si>
  <si>
    <t>10.1071/EN05093</t>
  </si>
  <si>
    <t>Chemistry, Analytical; Environmental Sciences</t>
  </si>
  <si>
    <t>Chemistry; Environmental Sciences &amp; Ecology</t>
  </si>
  <si>
    <t>050KO</t>
  </si>
  <si>
    <t>WOS:000238086500002</t>
  </si>
  <si>
    <t>Häder, DP</t>
  </si>
  <si>
    <t>Ghetti, F; Checcucci, G; Bornman, JF</t>
  </si>
  <si>
    <t>Impact of UV radiation on the aquatic environment</t>
  </si>
  <si>
    <t>ENVIRONMENTAL UV RADIATION: IMPACT ON ECOSYSTEMS AND HUMAN HEALTH AND PREDICTIVE MODELS</t>
  </si>
  <si>
    <t>NATO Science Series IV Earth and Environmental Sciences</t>
  </si>
  <si>
    <t>Conference of the NATO-Advanced-Study-Institute on Environmental UV Radiation - Impact on Ecosystems and Human Health and Predictive Models</t>
  </si>
  <si>
    <t>JUN, 2001</t>
  </si>
  <si>
    <t>Pisa, ITALY</t>
  </si>
  <si>
    <t>PHOTOSYNTHETIC OXYGEN PRODUCTION; SOLAR ULTRAVIOLET-RADIATION; ANTARCTIC MARINE ORGANISMS; CHLOROPHYLL FLUORESCENCE; OZONE DEPLETION; B RADIATION; DICTYOTA-DICHOTOMA; GYRODINIUM-DORSUM; GRAN-CANARIA; AMINO-ACIDS</t>
  </si>
  <si>
    <t>Aquatic ecosystems produce about 50% of the global biomass and play an important role in atmospheric carbon dioxide cycling. Since the primary producers are confined to the euphotic zone for energetic reasons, they are simultaneously exposed to short wavelength radiation. Solar UV affects growth, reproduction, photosynthetic production and many other physiological processes. Cyanobacteria are important ubiquitous prokaryotes which populate terrestrial and aquatic habitats. They account for up to 40% of the marine biomass production and are important components of wet land ecosystems such as rice paddy fields. These organisms are also highly impaired by solar UV, but they and other motile microorganisms have developed mitigating strategies to protect themselves from this stress. One protection strategy is based on vertical migrations within the water column or a microbial mats. However, both motility and orientation are impaired by UV radiation. Another means of protection is achieved by the production of screening pigments including mycosporine-like amino acids (MAA) or scytonemins. MAAs are also produced by phytoplankton and macroalgae. In several organisms action spectra were measured which indicate that MAA synthesis is induced by UV in most cases. These sunscreen pigments prevent short wavelength radiation from reaching the UV sensitive DNA where it induces thymine dimers. Remaining dimers are removed by photorepair which involves the enzyme photolyase. The photosynthetic apparatus is another main target in primary aquatic biomass producers. Inhibition of the photosynthetic electron transport chain can be determined by oxygen measurements or by pulse amplitude modulated (PAM) fluorescence. Plants reduce the potentially deleterious effects of solar UV by decreasing the photosynthetic electron transport in photosystem II, a process called photoinhibition. Despite the dramatic effects of even ambient solar UV on individual species and physiological responses, the effect of ozone depletion on whole ecosystems is surprisingly low and close to the noise level induced by all other environmental factors such as mixing layer depth, cloud cover and temperature.</t>
  </si>
  <si>
    <t>Univ Erlangen Nurnberg, Inst Bot &amp; Pharmazeut Biol, D-91058 Erlangen, Germany</t>
  </si>
  <si>
    <t>University of Erlangen Nuremberg</t>
  </si>
  <si>
    <t>Häder, DP (corresponding author), Univ Erlangen Nurnberg, Inst Bot &amp; Pharmazeut Biol, Staudtstr 5, D-91058 Erlangen, Germany.</t>
  </si>
  <si>
    <t>PO BOX 17, 3300 AA DORDRECHT, NETHERLANDS</t>
  </si>
  <si>
    <t>1568-1238</t>
  </si>
  <si>
    <t>1-4020-3695-7</t>
  </si>
  <si>
    <t>NATO SCI S SS IV EAR</t>
  </si>
  <si>
    <t>NATO Sci. Series IV Earth Environ. Sciences</t>
  </si>
  <si>
    <t>Ecology; Environmental Sciences; Geosciences, Multidisciplinary</t>
  </si>
  <si>
    <t>Environmental Sciences &amp; Ecology; Geology</t>
  </si>
  <si>
    <t>BDY21</t>
  </si>
  <si>
    <t>WOS:000236077800014</t>
  </si>
  <si>
    <t>Sinha, RP; Häder, DP</t>
  </si>
  <si>
    <t>Impact of UV radiation on rice-field cyanobacteria:: Role of photoprotective compounds</t>
  </si>
  <si>
    <t>NATO Science Series IV-Earth and Environmental Sciences</t>
  </si>
  <si>
    <t>ULTRAVIOLET-B RADIATION; NITROGEN-FIXING CYANOBACTERIA; LIGHT-HARVESTING COMPLEX; CHLOROGLOEOPSIS PCC 6912; AMINO-ACIDS; OZONE DEPLETION; NOSTOC-COMMUNE; ANABAENA SP; ANTARCTIC CYANOBACTERIA; SUNSCREEN PIGMENT</t>
  </si>
  <si>
    <t>Members of the cyanobacteria are cosmopolitan in distribution, forming a prominent component of microbial populations in aquatic as well as terrestrial ecosystems. They play a central role in successional processes, global photosynthetic biomass production and nutrient cycling. In addition, N-2-fixing cyanobacteria are often the dominant microflora in wetland soils, especially in rice paddy fields, where they significantly contribute to fertility as a natural biofertilizer. Recent studies have shown a continuous depletion of the stratospheric ozone layer, as a result of anthropogenically released atmospheric pollutants such as chlorofluorocarbons (CFCs) and the consequent increase in solar UV-B radiation reaching the Earth's surface. Considering the vital role of cyanobacteria in crop production, the fluence rates of UV-B radiation impinging on the natural habitats are of major concern since, being photoautotrophic organisms, cyanobacteria depend on solar radiation as their primary source of energy. UV-B radiation causes reduction in growth, survival, protein content, heterocyst frequency and fixation of carbon and nitrogen, bleaching of pigments, disassembly of phycobilisomal complexes, DNA damage and alteration in membrane permeability in cyanobacteria. However, a number of cyanobacteria have developed photoprotective mechanisms to counteract the damaging effects of UV-B which includes synthesis of water soluble colourless mycosporine-like amino acids (MAA) and the lipid soluble yellow-brown coloured sheath pigment, scytonemin. Cyanobacteria, such as Anabaena sp., Nostoc commune, Scytonema sp. and Lyngbya sp. were isolated from rice paddy fields and other habitats in India and screened for the presence of photoprotective compounds. Spectroscopic and biochemical analyses revealed the presence of only shinorine, a bisubstituted MAA containing both a glycine and a serine group with an absorption maximum at 334 nm in all cyanobacteria except Lynghya sp. There was a circadian induction in the synthesis of this compound by UV-B. A polychromatic action spectrum for the induction of MAAs in Anabaena sp. and Nostoc commune also shows the induction to be UV-B-dependent and peaking at around 290 nm. Another photoprotective compound, scytonemin, with an absorption maximum at 386 nm (which also absorbs significantly at 300, 278, 252 and 212 nm) was detected in all cyanobacteria except Anabaena sp. In addition, two unidentified, water-soluble, yellowish (induced by high white light) and brownish (induced by UV-B) compounds with an absorption maximum at 315 mn were recorded only in Scytonema sp. In conclusion, cyanobacteria having photoprotective mechanisms may be potent candidates as biofertilizers for crop plants.</t>
  </si>
  <si>
    <t>Friedrich Alexander Univ, Inst Bot &amp; Pharmazeut Biol, Staudtstr 5, D-91058 Erlangen, Germany</t>
  </si>
  <si>
    <t>Friedrich Alexander Univ, Inst Bot &amp; Pharmazeut Biol, Staudtstr 5, D-91058 Erlangen, Germany.</t>
  </si>
  <si>
    <t>Sinha, Rajeshwar/CAC-2606-2022</t>
  </si>
  <si>
    <t>Sinha, Rajeshwar/0000-0002-0112-6161</t>
  </si>
  <si>
    <t>WOS:000236077800017</t>
  </si>
  <si>
    <t>Kay, SM; Copeland, P</t>
  </si>
  <si>
    <t>Kay, SM; Ramos, VA</t>
  </si>
  <si>
    <t>Kay, Suzanne Mahlburg; Copeland, Peter</t>
  </si>
  <si>
    <t>Early to middle Miocene backarc magmas of the Neuquen Basin: Geochemical consequences of slab shallowing and the westward drift of South America</t>
  </si>
  <si>
    <t>EVOLUTION OF AN ANDEAN MARGIN: A TECTONIC AND MAGMATIC VIEW FROM THE ANDES TO THE NEUQUEN BASIN (35 DEG - 39 DEG S LAT)</t>
  </si>
  <si>
    <t>Geological Society of America Special Papers</t>
  </si>
  <si>
    <t>Andes; plateau magmatism; Miocene; Neuquen Basin; trace elements; isotopes; plate motions; shallow subduction</t>
  </si>
  <si>
    <t>AFRICAN PLATE MOTION; NAZCA FARALLON; CENTRAL CHILE; CENTRAL ANDES; GEOCHRONOLOGY; OLIGOCENE; ZONE; ARC; EVOLUTION; INVERSION</t>
  </si>
  <si>
    <t>New 40Ar/39Ar, major and trace element, and isotopic data for ca. 24-15 Ma backarc volcanic rocks from the Sierra de Huantraico, Sierra Negra, and Sierra de Chachahuen-La Matancilla regions (36 degrees S-38 degrees S) in the Neuquen Basin shed light on the early Miocene evolution of the south-central Andes. A model calling for incipient shallowing of the subducting slab under the northern Neuquen Basin and an increase in the rate of westward motion of South America relative to the underlying mantle at ca. 20 Ma can explain many regional features. Early Miocene magmatism in the Neuquen Basin began with the eruption of ca. 24-20 Ma alkali olivine basalts from monogenetic and simple polygenetic centers located up to 500 km east of the trench. Their characteristics (Ta/Hf &gt; 0.45, epsilon(Nd) = +3.6-+4.2; La/Ta &lt; 14; Ba/La &lt; 16; Sr-87/Sr-86 = 0.7037-0.7040) indicate a backarc mantle devoid of arc-like components. These basalts erupted at a time of extension all along the margin during a period of rapid, near-normal Nazca-South America plate convergence when spreading ridges between the Pacific, Nazca, and Antarctic plates were becoming more parallel to the Chile Trench. Ridge rotation along with slab roll-back in response to slow relative motion between South America and the underlying mantle can explain why isotopically enriched magmas erupted far to the east of the trench in a generally extensional regime. Subsequently, 19-15 Ma basaltic to trachyandesitic backarc lavas with weak arc-like La/Ta (15-26), Ba/La (15-32), and Ta/Hf (0.2-4.5) ratios and a more depleted isotopic signature (epsilon(Nd) = +3.9-+4.7; Sr-87/Sr-86 = 0.7033-0.7037) erupted in a contractional regime. Their chemical features fit with incipient shallowing of the Nazca plate under the northern Neuquen Basin. A contractional regime that extended all along the margin can be explained by westward acceleration of South America over the underlying mantle as Nazca-South America plate convergence slowed.</t>
  </si>
  <si>
    <t>[Kay, Suzanne Mahlburg] Cornell Univ, Dept Earth &amp; Atmospher Sci, Ithaca, NY 14853 USA; [Kay, Suzanne Mahlburg] Cornell Univ, Inst Study Continents, Ithaca, NY 14853 USA; [Copeland, Peter] Univ Houston, Dept Geosci, Houston, TX 77204 USA</t>
  </si>
  <si>
    <t>Cornell University; Cornell University; University of Houston System; University of Houston</t>
  </si>
  <si>
    <t>Kay, SM (corresponding author), Cornell Univ, Dept Earth &amp; Atmospher Sci, Snee Hall, Ithaca, NY 14853 USA.</t>
  </si>
  <si>
    <t>smk16@cornell.edu; copeland@uh.edu</t>
  </si>
  <si>
    <t>Kay, Suzanne/AAG-7493-2020</t>
  </si>
  <si>
    <t>Kay, Suzanne/0000-0003-1125-3209; Copeland, Peter/0000-0001-6869-5142</t>
  </si>
  <si>
    <t>GEOLOGICAL SOC AMER INC</t>
  </si>
  <si>
    <t>3300 PENROSE PL, PO BOX 9140, BOULDER, CO 80301 USA</t>
  </si>
  <si>
    <t>0072-1077</t>
  </si>
  <si>
    <t>978-0-8137-2407-2</t>
  </si>
  <si>
    <t>GEOL SOC AM SPEC PAP</t>
  </si>
  <si>
    <t>10.1130/2006.2407(09)</t>
  </si>
  <si>
    <t>Geochemistry &amp; Geophysics; Geology; Geosciences, Multidisciplinary</t>
  </si>
  <si>
    <t>BLY05</t>
  </si>
  <si>
    <t>WOS:000271386900011</t>
  </si>
  <si>
    <t>Cavicchioli, R; Curmi, PMG; Siddiqui, KS; Thomas, T</t>
  </si>
  <si>
    <t>Rainey, FA; Oren, A</t>
  </si>
  <si>
    <t>Cavicchioli, Racardo; Curmi, Paul M. G.; Siddiqui, Khawar Sohail; Thomas, Torsten</t>
  </si>
  <si>
    <t>Proteins from psychrophiles</t>
  </si>
  <si>
    <t>EXTREMOPHILES</t>
  </si>
  <si>
    <t>Methods in Microbiology</t>
  </si>
  <si>
    <t>Review; Book Chapter</t>
  </si>
  <si>
    <t>PRELIMINARY-X-RAY; CARBOXYL GROUP MODIFICATION; COLD ADAPTATION; ALPHA-AMYLASE; CRYSTAL-STRUCTURE; CHEMICAL-MODIFICATION; ALKALINE-PHOSPHATASE; DIRECTED EVOLUTION; ANTARCTIC ARCHAEON; ALTEROMONAS-HALOPLANCTIS</t>
  </si>
  <si>
    <t>Univ New S Wales, Sch Biotechnol &amp; Biomol Sci, Sydney, NSW 2052, Australia; Univ New S Wales, Sch Phys, Sydney, NSW 2052, Australia; St Vincents Hosp, Ctr Immunol, Sydney, NSW 2010, Australia</t>
  </si>
  <si>
    <t>University of New South Wales Sydney; University of New South Wales Sydney; NSW Health; St Vincents Hospital Sydney</t>
  </si>
  <si>
    <t>Cavicchioli, R (corresponding author), Univ New S Wales, Sch Biotechnol &amp; Biomol Sci, Sydney, NSW 2052, Australia.</t>
  </si>
  <si>
    <t>; Cavicchioli, Ricardo/D-4341-2013; Curmi, Paul/G-7185-2011</t>
  </si>
  <si>
    <t>Siddiqui, Khawar/0000-0001-8574-3177; Cavicchioli, Ricardo/0000-0001-8989-6402; Thomas, Torsten/0000-0001-9557-3001; Curmi, Paul/0000-0001-5762-7638</t>
  </si>
  <si>
    <t>ACADEMIC PRESS LTD-ELSEVIER SCIENCE LTD</t>
  </si>
  <si>
    <t>125 LONDON WALL, LONDON EC2Y 5AS, ENGLAND</t>
  </si>
  <si>
    <t>0580-9517</t>
  </si>
  <si>
    <t>978-0-12-521536-7</t>
  </si>
  <si>
    <t>METHOD MICROBIOL</t>
  </si>
  <si>
    <t>Methods Microbiol.</t>
  </si>
  <si>
    <t>10.1016/S0580-9517(05)35017-3</t>
  </si>
  <si>
    <t>Biochemical Research Methods; Microbiology</t>
  </si>
  <si>
    <t>Book Citation Index – Science (BKCI-S); Science Citation Index Expanded (SCI-EXPANDED)</t>
  </si>
  <si>
    <t>Biochemistry &amp; Molecular Biology; Microbiology</t>
  </si>
  <si>
    <t>BFR56</t>
  </si>
  <si>
    <t>WOS:000244031300017</t>
  </si>
  <si>
    <t>suriñachi, E; Flores-Marquez, EL; Chávez, RE</t>
  </si>
  <si>
    <t>Surinachi, Emma; Leticia Flores-Marquez, E.; Chavez, Rene E.</t>
  </si>
  <si>
    <t>3D Numerical Inversion of gravity data from marine surveys and satellite. Application to an Antarctic area</t>
  </si>
  <si>
    <t>FISICA DE LA TIERRA</t>
  </si>
  <si>
    <t>Spanish</t>
  </si>
  <si>
    <t>numerical inversion 3D; espectral factor; gravity anomaly; satelital gravity; oceanic crust; Shackleton Fracture zone; Drake Passage</t>
  </si>
  <si>
    <t>The gravity modelling of the oceanic crust of the central zone of Drake Passage in the Shackleton Fracture zone (Antarctica) is presented as an example of application of a 3D numerical inversion of gravity data. The methods used are discussed. The treated data are from the survey carried out by the Spanish R/V Hesprerides and the data base of the Global Gravity Grid and Global Sea Floor Topography (GGSFT) (Sandwell &amp; Smith, 1997). The limitations of the Spectral Factor Method (Spector &amp; Grant, 1970) are discussed and analyzed. The Spectral Factor Method allows us to separate the contribution of the different sources to the gravity anomaly. In particular, in the case of marine and satellite data, which we used, we consider the negative effect in the radial spectrum of the indiscriminate combination of data of diverse origin. We also discuss the inversion method employed, which is based on Parker (1973), and the utilization of the water plate correction (WPC) applied to the Free Air anomaly to obtain the Total anomaly. This anomaly is the point of departure of the inversion process.</t>
  </si>
  <si>
    <t>[Surinachi, Emma] Univ Barcelona, Fac Geol, Dept Geodinam &amp; Geofis, E-08028 Barcelona, Spain; [Leticia Flores-Marquez, E.; Chavez, Rene E.] Univ Nacl Autonoma Mexico, Inst Geofis, Mexico City 04510, DF, Mexico</t>
  </si>
  <si>
    <t>University of Barcelona; Universidad Nacional Autonoma de Mexico</t>
  </si>
  <si>
    <t>suriñachi, E (corresponding author), Univ Barcelona, Fac Geol, Dept Geodinam &amp; Geofis, E-08028 Barcelona, Spain.</t>
  </si>
  <si>
    <t>emma.surinach@ub.edu</t>
  </si>
  <si>
    <t>Surinach, Emma/C-5896-2008; Chavez, Rene/AAF-1948-2020</t>
  </si>
  <si>
    <t>UNIV COMPLUTENSE MADRID, SERVICIO PUBLICACIONES</t>
  </si>
  <si>
    <t>MADRID</t>
  </si>
  <si>
    <t>CIUDAD UNIV, OBISPO TREJO 3, MADRID, 28040, SPAIN</t>
  </si>
  <si>
    <t>0214-4557</t>
  </si>
  <si>
    <t>1988-2440</t>
  </si>
  <si>
    <t>FIS TIERRA</t>
  </si>
  <si>
    <t>Fis Tierra</t>
  </si>
  <si>
    <t>Geochemistry &amp; Geophysics</t>
  </si>
  <si>
    <t>V22RN</t>
  </si>
  <si>
    <t>WOS:000215039000011</t>
  </si>
  <si>
    <t>Döbeli, M; Gaschen, AAM; Krähenbühl, U</t>
  </si>
  <si>
    <t>Tressaud, A</t>
  </si>
  <si>
    <t>Doebeli, M.; Gaschen, A. A. -M.; Kraehenbuehl, U.</t>
  </si>
  <si>
    <t>Fluorine Analysis by Ion Beam Techniques for Dating Applications</t>
  </si>
  <si>
    <t>FLUORINE AND THE ENVIRONMENT: AGROCHEMICALS, ARCHAEOLOGY, GREEN CHEMISTRY &amp; WATER, VOL 2</t>
  </si>
  <si>
    <t>Advances in Fluorine Science</t>
  </si>
  <si>
    <t>REACTION ANALYSIS NRA; DIFFUSION-ADSORPTION MODEL; NUCLEAR-REACTION; ARCHAEOLOGICAL BONE; CONCENTRATION PROFILES; TERRESTRIAL FLUORINE; ANTARCTIC METEORITES; EXCITATION-FUNCTION; BURIAL ENVIRONMENT; PROTON MICROPROBE</t>
  </si>
  <si>
    <t>Megaelectron volt (MeV) ion beam techniques offer a number of non-destructive analysis methods that allow to measure depth profiles of elemental concentrations in material surfaces. Elements are identified by elastic scattering, by specific nuclear reaction products or by emission of characteristic X-rays. With nuclear microprobes raster images of the material composition at the surface can be obtained. Particle-induced gamma-ray emission (PIGE) is especially suited for fluorine detection down to the ppm concentration level. The technical aspects of fluorine detection by nuclear reactions as well as its applications to fluorine analysis in geological and archaeological objects are reviewed. Special attention is given to the determination of exposure ages of meteorites on the Antarctic ice shield and burial durations of archaeological bones and teeth. This information can be acquired by evaluation of the shape and penetration depth of the diffusion profile of fluorine that was incorporated by the sample from the environment. For a quantitative assessment of the data, several factors like ambient conditions and diagenetic state of the material have to be taken into account.</t>
  </si>
  <si>
    <t>[Doebeli, M.] ETH, Paul Scherrer Inst, CH-8093 Zurich, Switzerland; [Gaschen, A. A. -M.; Kraehenbuehl, U.] Univ Bern, Lab Radio &amp; Environm Chem, CH-3012 Bern, Switzerland</t>
  </si>
  <si>
    <t>Swiss Federal Institutes of Technology Domain; ETH Zurich; Paul Scherrer Institute; University of Bern</t>
  </si>
  <si>
    <t>Döbeli, M (corresponding author), ETH, Paul Scherrer Inst, HPK H32, CH-8093 Zurich, Switzerland.</t>
  </si>
  <si>
    <t>ELSEVIER NORTH HOLLAND</t>
  </si>
  <si>
    <t>1872-0358</t>
  </si>
  <si>
    <t>978-0-08-046561-6</t>
  </si>
  <si>
    <t>ADV FLUORINE SCI</t>
  </si>
  <si>
    <t>10.1016/S1872-0358(06)02007-0</t>
  </si>
  <si>
    <t>Chemistry, Multidisciplinary; Environmental Sciences</t>
  </si>
  <si>
    <t>BDG52</t>
  </si>
  <si>
    <t>WOS:000313122200008</t>
  </si>
  <si>
    <t>Masters, JC; de Wit, MJ; Asher, RJ</t>
  </si>
  <si>
    <t>Masters, J. C.; de Wit, M. J.; Asher, R. J.</t>
  </si>
  <si>
    <t>Reconciling the origins of Africa, India and Madagascar with vertebrate dispersal scenarios</t>
  </si>
  <si>
    <t>FOLIA PRIMATOLOGICA</t>
  </si>
  <si>
    <t>Gondwana; Madagascar; biogeography; dispersal scenarios; phylogenies; mammals; lemuroids</t>
  </si>
  <si>
    <t>ROMANCHE FRACTURE-ZONE; GONDWANA LIFE RAFTS; MULTIPLE GENE LOCI; MOLECULAR PHYLOGENY; MUROID RODENTS; SINGLE-ORIGIN; PREDATORY DINOSAUR; GENOME SEQUENCES; DIVERGENCE TIMES; CICHLID FISHES</t>
  </si>
  <si>
    <t>Africa, India and Madagascar were once part of the supercontinent of Gondwana. This land mass began to fragment approx. 170 million years ago, and by 83 million years, all of the major components we recognize today were separated by tracts of water. Madagascar's fossil record and estimates of the timing of the extant vertebrate radiations in Madagascar are not easily reconciled with this history of fragmentation. Fossil faunas that lived prior to approx. 65 million years had a cosmopolitan flavour, but this was lost after the Cretaceous-Tertiary boundary. Phylogenetic reconstructions of most extant Malagasy vertebrate radiations indicate divergence times that postdate the End-Cretaceous (lemurs, tenrecs, cichlid fish) and even the Early Miocene (chameleons, carnivores, rodents). Most biogeographic explanations of these groups rely, therefore, on Simpson's model of sweepstakes dispersal (see also cover figure), but there are significant problems in applying the model to migrations from Africa to Madagascar, although its application is not so intractable between India and Madagascar. Alternative migration routes for consideration lie: (1) along the suite of fracture zones between Antarctica and Africa/Madagascar (known as the Antarctic-Africa Corridor), which may have been exposed episodically above sea level; (2) along a series of submerged basaltic ridges/plateaus with known or suspected continental crust between Antarctica and Africa/Madagascar/ India flanking the Antarctic-Africa Corridor (e.g. the Madagascar Ridge, Mozambique Ridge, Conrad Plateau, Gunnerus Ridge); (3) between Africa and Madagascar along the Davie Ridge (parts of which are known to have been exposed episodically above sea level); (4) along the Deccan hotspot corridor between India and greater Africa. Copyright (c) 2006 S. Karger AG, Basel</t>
  </si>
  <si>
    <t>Natal Museum, ZA-3200 Pietermaritzburg, South Africa; Univ KwaZulu Natal, Sch Biol &amp; Conservat Sci, Pietermaritzburg, South Africa; Univ Cape Town, Dept Geol Sci, ZA-7925 Cape Town, South Africa; Univ Cape Town, AEON, ZA-7925 Cape Town, South Africa; Humboldt Univ, Museum Naturkunde, Berlin, Germany</t>
  </si>
  <si>
    <t>University of Kwazulu Natal; University of Cape Town; University of Cape Town; Leibniz Institut fur Evolutions und Biodiversitatsforschung; Humboldt University of Berlin</t>
  </si>
  <si>
    <t>Masters, JC (corresponding author), Natal Museum, Private Bag 9070, ZA-3200 Pietermaritzburg, South Africa.</t>
  </si>
  <si>
    <t>jmasters@nmsa.org.za</t>
  </si>
  <si>
    <t>KARGER</t>
  </si>
  <si>
    <t>BASEL</t>
  </si>
  <si>
    <t>ALLSCHWILERSTRASSE 10, CH-4009 BASEL, SWITZERLAND</t>
  </si>
  <si>
    <t>0015-5713</t>
  </si>
  <si>
    <t>1421-9980</t>
  </si>
  <si>
    <t>FOLIA PRIMATOL</t>
  </si>
  <si>
    <t>Folia Primatol.</t>
  </si>
  <si>
    <t>10.1159/000095388</t>
  </si>
  <si>
    <t>Science Citation Index Expanded (SCI-EXPANDED); Social Science Citation Index (SSCI)</t>
  </si>
  <si>
    <t>100JQ</t>
  </si>
  <si>
    <t>WOS:000241664800001</t>
  </si>
  <si>
    <t>Wasley, J; Robinson, SA; Lovelock, CE; Popp, M</t>
  </si>
  <si>
    <t>Some like it wet - biological characteristics underpinning tolerance of extreme water stress events in Antarctic bryophytes</t>
  </si>
  <si>
    <t>FUNCTIONAL PLANT BIOLOGY</t>
  </si>
  <si>
    <t>2nd Meeting of the Plant Ecophysiologists (ECOFIZZ)</t>
  </si>
  <si>
    <t>AUSTRALIA</t>
  </si>
  <si>
    <t>Antarctica; chlorophyll fluorescence; climate change; desiccation; delta C-13; fatty acids; soluble carbohydrates; submergence</t>
  </si>
  <si>
    <t>CARBON-ISOTOPE DISCRIMINATION; CONTINENTAL ANTARCTICA; DESICCATION TOLERANCE; PIGMENT COMPOSITION; SUGAR CONTENT; PLANTS; MOSS; PHOTOSYNTHESIS; CARBOHYDRATE; DEHYDRATION</t>
  </si>
  <si>
    <t>Antarctic bryophyte communities presently tolerate physiological extremes in water availability, surviving both desiccation and submergence events. We investigated the relative ability of three Antarctic moss species to tolerate physiological extremes in water availability and identified physiological, morphological, and biochemical characteristics that assist species performance under such conditions. Tolerance of desiccation and submergence was investigated using chlorophyll fluorescence during a series of field- and laboratory-based water stress events. Turf water retention and degree of natural habitat submergence were determined from gametophyte shoot size and density, and delta C-13 signatures, respectively. Finally, compounds likely to assist membrane structure and function during desiccation events (fatty acids and soluble carbohydrates) were determined. The results of this study show significant differences in the performance of the three study species under contrasting water stress events. The results indicate that the three study species occupy distinctly different ecological niches with respect to water relations, and provide a physiological explanation for present species distributions. The poor tolerance of submergence seen in Ceratodon purpureus helps explain its restriction to drier sites and conversely, the low tolerance of desiccation and high tolerance of submergence displayed by the endemic Grimmia antarctici is consistent with its restriction to wet habitats. Finally the flexible response observed for Bryum pseudotriquetrum is consistent with its co-occurrence with the other two species across the bryophyte habitat spectrum. The likely effects of future climate change induced shifts in water availability are discussed with respect to future community dynamics.</t>
  </si>
  <si>
    <t>Univ Wollongong, Inst Conservat Biol, Wollongong, NSW 2522, Australia; Univ Queensland, Ctr Marine Studies, St Lucia, Qld 4072, Australia; Univ Vienna, Inst Ecol &amp; Conservat Biol, A-1090 Vienna, Austria</t>
  </si>
  <si>
    <t>University of Wollongong; University of Queensland; University of Vienna</t>
  </si>
  <si>
    <t>Univ Wollongong, Inst Conservat Biol, Wollongong, NSW 2522, Australia.</t>
  </si>
  <si>
    <t>sharonr@uow.edu.au</t>
  </si>
  <si>
    <t>Wasley, Jane/KHX-4880-2024; Popp, Marianne/E-7559-2012; Lovelock, Catherine E./AAF-7294-2020; Lovelock, Catherine E/G-7370-2012; Robinson, Sharon/B-2683-2008</t>
  </si>
  <si>
    <t>Lovelock, Catherine E./0000-0002-2219-6855; Robinson, Sharon/0000-0002-7130-9617; Wasley, Jane/0000-0001-9379-664X</t>
  </si>
  <si>
    <t>1445-4408</t>
  </si>
  <si>
    <t>1445-4416</t>
  </si>
  <si>
    <t>FUNCT PLANT BIOL</t>
  </si>
  <si>
    <t>Funct. Plant Biol.</t>
  </si>
  <si>
    <t>10.1071/FP05306</t>
  </si>
  <si>
    <t>Science Citation Index Expanded (SCI-EXPANDED); Conference Proceedings Citation Index - Science (CPCI-S)</t>
  </si>
  <si>
    <t>038IJ</t>
  </si>
  <si>
    <t>WOS:000237212700005</t>
  </si>
  <si>
    <t>Dreschhoff, GAM; Laird, CM</t>
  </si>
  <si>
    <t>Gehrels, N; Courvoisier, TJL; Wilkes, B; Diehl, R; Williams, DR</t>
  </si>
  <si>
    <t>Dreschhoff, G. A. M.; Laird, C. M.</t>
  </si>
  <si>
    <t>Evidence for a stratigraphic record of supernovae in polar ice</t>
  </si>
  <si>
    <t>GALACTIC AND EXTRAGALACTIC ASTROPHYSICS</t>
  </si>
  <si>
    <t>ADVANCES IN SPACE RESEARCH-SERIES</t>
  </si>
  <si>
    <t>35th COSPAR Scientific Assembly</t>
  </si>
  <si>
    <t>JUL 18-25, 2004</t>
  </si>
  <si>
    <t>Paris, FRANCE</t>
  </si>
  <si>
    <t>supernovae; gamma-ray bursts; cosmic rays; ionizing radiation</t>
  </si>
  <si>
    <t>COSMIC-RAY EVENTS; NITRATE; EXPLOSIONS; OZONE; NOVAE</t>
  </si>
  <si>
    <t>The presence of photon induced ionization from supernovae at detectable levels in the polar ice sheets has been an interesting issue for some time. Evidence for such a signal is reported in 1200-year time sequences from the Antarctic continent at South Pole and Vostok, respectively. The supernova candidate events all appear as nitrate concentration spikes apparently caused by ionization from high energy radiation interacting with the upper atmosphere of the Earth. Further support for this interpretation has been obtained from an ice core drilled in Greenland covering 430 years. These ultrahigh resolution measurements (averaging 18 data points/year) have revealed nitrate anomalies at the times of the Tycho and Kepler Supernovae. In addition, the possibility is being suggested that the supernova Cassiopeia A appears in the record, thus pinpointing its year of occurrence. Other, less understood phenomena such as gamma-ray bursts also occasionally may produce anomalies in the nitrate record. (c) 2004 COSPAR. Published by Elsevier Ltd. All rights reserved.</t>
  </si>
  <si>
    <t>[Dreschhoff, G. A. M.; Laird, C. M.] Univ Kansas, Dept Phys &amp; Astron, 1251 Wescow Hall Dr,Mallot Hall, Lawrence, KS 66045 USA</t>
  </si>
  <si>
    <t>University of Kansas</t>
  </si>
  <si>
    <t>Dreschhoff, GAM (corresponding author), Univ Kansas, Dept Phys &amp; Astron, 1251 Wescow Hall Dr,Mallot Hall, Lawrence, KS 66045 USA.</t>
  </si>
  <si>
    <t>giselad@ku.edu; claird@ku.edu</t>
  </si>
  <si>
    <t>Gehrels, Neil/D-2971-2012</t>
  </si>
  <si>
    <t>NASA [NNG04GM41G]; University of Kansas</t>
  </si>
  <si>
    <t>NASA(National Aeronautics &amp; Space Administration (NASA)); University of Kansas</t>
  </si>
  <si>
    <t>The work was supported in part by the NASA Astrobiology Program, Grant NNG04GM41G and University of Kansas.</t>
  </si>
  <si>
    <t>ELSEVIER SCIENCE LTD</t>
  </si>
  <si>
    <t>THE BOULEVARD, LANGFORD LANE, KIDLINGTON, OXFORD 0X5 1GB, OXON, ENGLAND</t>
  </si>
  <si>
    <t>0273-1177</t>
  </si>
  <si>
    <t>ADV SPACE RES-SERIES</t>
  </si>
  <si>
    <t>10.1016/j.asr.2004.11.006</t>
  </si>
  <si>
    <t>Engineering, Aerospace; Astronomy &amp; Astrophysics; Geosciences, Multidisciplinary; Meteorology &amp; Atmospheric Sciences</t>
  </si>
  <si>
    <t>Engineering; Astronomy &amp; Astrophysics; Geology; Meteorology &amp; Atmospheric Sciences</t>
  </si>
  <si>
    <t>BFW01</t>
  </si>
  <si>
    <t>WOS:000245034500008</t>
  </si>
  <si>
    <t>Stamatikos, M; Band, DL</t>
  </si>
  <si>
    <t>Holt, SS; Gehrels, N; Nousek, JA</t>
  </si>
  <si>
    <t>Stamatikos, Michael; Band, David L.</t>
  </si>
  <si>
    <t>A new search paradigm for correlated neutrino emission from discrete GRBs using antarctic Cherenkov telescopes in the swift era</t>
  </si>
  <si>
    <t>GAMMA-RAY BURSTS IN THE SWIFT ERA</t>
  </si>
  <si>
    <t>AIP Conference Proceedings</t>
  </si>
  <si>
    <t>16th Annual Astrophysics Conference</t>
  </si>
  <si>
    <t>NOV 29-DEC 02, 2005</t>
  </si>
  <si>
    <t>Washington, DC</t>
  </si>
  <si>
    <t>gamma-ray; bursts; radiation mechanisms; nonthermal; neutrinos</t>
  </si>
  <si>
    <t>GAMMA-RAY BURSTS; SPECTRA</t>
  </si>
  <si>
    <t>We describe the theoretical modeling and analysis techniques associated with a preliminary. search for correlated neutrino emission from GRB980703a, which triggered the Burst and Transient Source Experiment (BATSE GRB trigger 6891), using archived data from the Antarctic Muon and Neutrino Detector Array (AMANDA-B10). Under the assumption of associated hadronic acceleration, the expected observed neutrino energy flux is directly derived, based upon confronting the fireball phenomenology with the discrete set of observed electromagnetic parameters of GRB980703a, gleaned from ground-based and satellite observations, for four models, corrected for oscillations. Models 1 and 2, based upon spectral analysis featuring a prompt photon energy fit to the Band function, utilize an observed spectroscopic redshift, for isotropic and anisotropic emission geometry, respectively. Model 3 is based upon averaged burst parameters, assuming isotropic emission. Model 4 based upon a Band fit features an estimated redshift from the lag-luminosity relation, with isotropic emission. Consistent with our AMANDA-II analysis of GRB030329, which resulted in a flux upper limit of similar to 0.150GeV/cm(2)/s for model 1, we find differences in excess of an order of magnitude in the response of AMANDA-B10, among the various models for GRB980703a. Implications for future searches in the era of Swift and IceCube are discussed.</t>
  </si>
  <si>
    <t>[Stamatikos, Michael] Univ Wisconsin, Dept Phys, Madison, WI 53706 USA; [Band, David L.] NASA, Goddard Space Flight Ctr, Greenbelt, MD 20771 USA; [Band, David L.] UMBC, JCA, Baltimore, MD 21250 USA</t>
  </si>
  <si>
    <t>University of Wisconsin System; University of Wisconsin Madison; National Aeronautics &amp; Space Administration (NASA); NASA Goddard Space Flight Center; University System of Maryland; University of Maryland Baltimore County</t>
  </si>
  <si>
    <t>Stamatikos, M (corresponding author), Univ Wisconsin, Dept Phys, Madison, WI 53706 USA.</t>
  </si>
  <si>
    <t>Hundertmark, Stephan/A-6592-2010</t>
  </si>
  <si>
    <t>AMER INST PHYSICS</t>
  </si>
  <si>
    <t>MELVILLE</t>
  </si>
  <si>
    <t>2 HUNTINGTON QUADRANGLE, STE 1NO1, MELVILLE, NY 11747-4501 USA</t>
  </si>
  <si>
    <t>0094-243X</t>
  </si>
  <si>
    <t>0-7354-0326-0</t>
  </si>
  <si>
    <t>AIP CONF PROC</t>
  </si>
  <si>
    <t>Astronomy &amp; Astrophysics; Physics, Multidisciplinary</t>
  </si>
  <si>
    <t>Astronomy &amp; Astrophysics; Physics</t>
  </si>
  <si>
    <t>BEM37</t>
  </si>
  <si>
    <t>Green Published, Green Submitted</t>
  </si>
  <si>
    <t>WOS:000238125000111</t>
  </si>
  <si>
    <t>Anand, M; Taylor, LA; Floss, C; Neal, CR; Terada, K; Tanikawa, S</t>
  </si>
  <si>
    <t>Petrology and geochemistry of LaPaz Icefield 02205: A new unique low-Ti mare-basalt meteorite</t>
  </si>
  <si>
    <t>GEOCHIMICA ET COSMOCHIMICA ACTA</t>
  </si>
  <si>
    <t>RARE-EARTH-ELEMENTS; SILICATE MELTS; REE MOBILIZATION; LUNAR; SOLUBILITY; PLATINUM; PETROGENESIS; COEFFICIENTS; PLAGIOCLASE; PHOSPHATES</t>
  </si>
  <si>
    <t>LaPaz Icefield 02205 (LAP 02205) is a new low-Ti mare-basalt meteorite that was discovered in the LaPaz Ice Field in Antarctica. This is the first crystalline lunar basalt in the US Antarctic collection and the only 5th unbrecciated mare-basalt meteorite to be discovered to date. The rock has a typical basaltic texture with tabular and elongated pyroxene and plagioclase crystals, and minor olivine grains commonly rimmed by pyroxenes. Core- to rim- zoning in terms of Fe and Mg is present in almost all pyroxene grains. Accessory minerals include ilmenite, chromite, ulvospinel, troilite, and FeNi metal. This rock is highly enriched in late-stage mesostasis. Free silica is also abundant. In terms of texture and mineralogy, LAP 02205 displays features of low-Ti mare basalts, with similarities to some low-Ti Apollo 12 and Apollo 15 basalts. Whole-rock major- and trace-element compositions confirm the highly fractionated nature of this basalt. The whole-rock REE contents of the meteorite are the highest among all known low-Ti mare basalts. The platinum group element (PGE) contents in LAP are also enriched suggesting the possibility of endogenously enriched source regions or the PGEs generally behaved as incompatible elements during crystal fractionation under low fO(2) conditions. Trace-element contents of mineral grains in LAP 02205 display wide variations, suggesting extensive non-equilibrium crystallization. The REE concentrations in the earliest-formed minerals provide constraints on the composition of the parental liquid, which is similar to the measured whole-rock composition. Crystallization modeling of the LAP 02205 bulk composition yields a reasonable fit between predicted and observed mineral phases and compositions, except for the high-Mg olivine cores, which are observed in the rock but not predicted by the modeling. An isochron age of 2929 +/- 150 Ma for phosphate minerals makes this rock one of the youngest lunar basalts known to date. The young age and specific geochemical characteristics of LAP distinguish it from those of most other low-Ti mare basalts. However, the low-Ti mare basalt meteorite, NWA 032, has a similar young age, and the two meteorites also appear to be closely related from some geochemical perspectives and might have originated from similar source regions on the Moon. (c) 2005 Elsevier Inc. All rights reserved.</t>
  </si>
  <si>
    <t>Univ Tennessee, Dept Earth &amp; Planetary Sci, Planetary Geosci Inst, Knoxville, TN 37996 USA; Nat Hist Museum, Dept Mineral, London SW7 5BD, England; Washington Univ, Lab Space Sci, St Louis, MO 63130 USA; Univ Notre Dame, Dept Civil Engn &amp; Geol Sci, Notre Dame, IN 46556 USA; Hiroshima Univ, Dept Earth &amp; Planetary Sci, Higashihiroshima 7398526, Japan</t>
  </si>
  <si>
    <t>University of Tennessee System; University of Tennessee Knoxville; Natural History Museum London; Washington University (WUSTL); University of Notre Dame; Hiroshima University</t>
  </si>
  <si>
    <t>Univ Tennessee, Dept Earth &amp; Planetary Sci, Planetary Geosci Inst, Knoxville, TN 37996 USA.</t>
  </si>
  <si>
    <t>m.anand.97@cantab.net</t>
  </si>
  <si>
    <t>Anand, Mahesh/E-9259-2013; Terada, Kentaro/AAN-5930-2021; Neal, Clive R/C-2316-2014</t>
  </si>
  <si>
    <t>Anand, Mahesh/0000-0003-4026-4476; Terada, Kentaro/0000-0003-0120-1229</t>
  </si>
  <si>
    <t>0016-7037</t>
  </si>
  <si>
    <t>1872-9533</t>
  </si>
  <si>
    <t>GEOCHIM COSMOCHIM AC</t>
  </si>
  <si>
    <t>Geochim. Cosmochim. Acta</t>
  </si>
  <si>
    <t>JAN 1</t>
  </si>
  <si>
    <t>10.1016/j.gca.2005.08.018</t>
  </si>
  <si>
    <t>003IN</t>
  </si>
  <si>
    <t>WOS:000234675300016</t>
  </si>
  <si>
    <t>Berrocoso, M; Ramírez, ME; Fernández, A</t>
  </si>
  <si>
    <t>Sanso, F; Gil, AJ</t>
  </si>
  <si>
    <t>Berrocoso, M.; Ramirez, M. E.; Fernandez, A.</t>
  </si>
  <si>
    <t>Horizontal deformation models for Deception Island (South Shetland Islands, Antarctica)</t>
  </si>
  <si>
    <t>GEODETIC DEFORMATION MONITORING: FROM GEOPHYSICAL TO ENGINEERING ROLES</t>
  </si>
  <si>
    <t>International Association of Geodesy Symposia</t>
  </si>
  <si>
    <t>IAG Symposium on Geodetic Deformation Monitoring - From Geophysical to Engineering Roles</t>
  </si>
  <si>
    <t>MAR 17-19, 2005</t>
  </si>
  <si>
    <t>Jaen, SPAIN</t>
  </si>
  <si>
    <t>GPS surveying; GPS data processing; superficial deformation models</t>
  </si>
  <si>
    <t>Deception Island (62.93 degrees S, 60.57 degrees W) is one of the few active volcanoes in the Antarctica, whose most recent eruptions took place in 1842, 1967, 1969 and 1970. During the continuous Spanish campaigns in the Antarctica, several scientific groups have developed different investigation projects in order to control the deformation the island suffers as a result of its volcanic activity. With this purpose, a geodetic network has been designed and improved. Nowadays, the network consists of twelve stations around Port Foster which are provided with WGS-84 geodetic coordinates with respect to the ITRF2000, and another station at the Spanish Base Juan Carlos I in Livingston Island. Time analysis of these coordinates will lead us to get the horizontal deformation model. On the other hand, a levelling network has been designed to obtain the vertical deformation model. This network is denser in those areas where the volcanic activity is stronger, as the Fumarole Bay and the Hill of Obsidians. GPS, levelling and gravimetric measurements have been also collected in secondary points to obtain an experimental geoid model which make possible an adequate reference frame for physical applications.</t>
  </si>
  <si>
    <t>[Berrocoso, M.; Ramirez, M. E.; Fernandez, A.] Univ Cadiz, Dept Matemat, Lab Astron Geodesia &amp; Cartog, Campus Univ Rio San Pedro,S-N, E-11510 Puerto Real, Cadiz, Spain</t>
  </si>
  <si>
    <t>Universidad de Cadiz; Consejo Superior de Investigaciones Cientificas (CSIC); CSIC-UCM - Instituto de Astronomia y Geodesia (IAG)</t>
  </si>
  <si>
    <t>Berrocoso, M (corresponding author), Univ Cadiz, Dept Matemat, Lab Astron Geodesia &amp; Cartog, Campus Univ Rio San Pedro,S-N, E-11510 Puerto Real, Cadiz, Spain.</t>
  </si>
  <si>
    <t>Kall, Tarmo/N-4333-2019; BERROCOSO, MANUEL/O-3818-2014</t>
  </si>
  <si>
    <t>Kall, Tarmo/0000-0003-1191-1259; BERROCOSO, MANUEL/0000-0002-1878-9658</t>
  </si>
  <si>
    <t>Ministry of Science and Technology of Spain through the National Program of Antarctic Research of Natural Resources [SIMAC'- REN 2000-0551-C03-01]</t>
  </si>
  <si>
    <t>Ministry of Science and Technology of Spain through the National Program of Antarctic Research of Natural Resources</t>
  </si>
  <si>
    <t>The realization of this work is being possible thanks to the subproject Geodetic Studies in Deception Island: deformation models, geoid determination and SIMAC- REN 2000-0551-C03-01, included in the project Geodynamic Activity in Deception Island (GEODEC), financed by the Ministry of Science and Technology of Spain through the National Program of Antarctic Research of Natural Resources. We will also thank the Las Palmas ship crew and the members of the Spanish Base Gabriel de Castilla for their collaboration during the last Antarctic campaigns.</t>
  </si>
  <si>
    <t>0939-9585</t>
  </si>
  <si>
    <t>3-540-38595-9</t>
  </si>
  <si>
    <t>IAG SYMP</t>
  </si>
  <si>
    <t>Geochemistry &amp; Geophysics; Engineering, Civil; Engineering, Geological; Instruments &amp; Instrumentation</t>
  </si>
  <si>
    <t>Geochemistry &amp; Geophysics; Engineering; Instruments &amp; Instrumentation</t>
  </si>
  <si>
    <t>BFM07</t>
  </si>
  <si>
    <t>WOS:000242996700026</t>
  </si>
  <si>
    <t>Erlingsson, U</t>
  </si>
  <si>
    <t>Lake Vostok behaves like a 'Captured lake' and may be near to creating an Antarctic Jokulhlaup</t>
  </si>
  <si>
    <t>GEOGRAFISKA ANNALER SERIES A-PHYSICAL GEOGRAPHY</t>
  </si>
  <si>
    <t>LAST GLACIAL MAXIMUM; SUBGLACIAL MELTWATER; ICE-SHEET; ORIGIN; MODEL</t>
  </si>
  <si>
    <t>The most well known sub-glacial lake is probably Grimsvotn under Vatnajokul, Iceland, from where jokulhlaups regularly burst forth. It is created by thermal melting under the ice cap. The Antarctic Lake Vostok, on the other hand, is considered to be located over a region with normal geothermal heat transfer, where it can exist because the ice is so thick that its base is at the pressure melting point. This makes it a candidate for testing the captured ice shelf (CIS) hypothesis, which states that the motion of a totally confined ice shelf creates a hydrostatic seal in the form of an ice rim over the threshold. The CIS hypothesis may offer a source of water for the controversial Laurentian jokulhlaups inferred from field data, implicated in dramatic climatic changes. Here I show that Lake Vostok agrees with the hypothesis, and that it may be on the verge of a jokulhlaup, which could create an ice stream and regional downdraw. The result also implies that the lake may well be of pre-glacial origin, and that it may have experienced jokulhlaups during previous interglacials.</t>
  </si>
  <si>
    <t>Erlingsson Subaquat Surveys, Miami Springs, FL 33166 USA</t>
  </si>
  <si>
    <t>Erlingsson Subaquat Surveys, 601 Plover Ave, Miami Springs, FL 33166 USA.</t>
  </si>
  <si>
    <t>ulf@erlingsson.com</t>
  </si>
  <si>
    <t>2-4 PARK SQUARE, MILTON PARK, ABINGDON OR14 4RN, OXON, ENGLAND</t>
  </si>
  <si>
    <t>0435-3676</t>
  </si>
  <si>
    <t>1468-0459</t>
  </si>
  <si>
    <t>GEOGR ANN A</t>
  </si>
  <si>
    <t>Geogr. Ann. Ser. A-Phys. Geogr.</t>
  </si>
  <si>
    <t>88A</t>
  </si>
  <si>
    <t>10.1111/j.0435-3676.2006.00278.x</t>
  </si>
  <si>
    <t>Geography, Physical; Geology</t>
  </si>
  <si>
    <t>Physical Geography; Geology</t>
  </si>
  <si>
    <t>014SF</t>
  </si>
  <si>
    <t>WOS:000235499500001</t>
  </si>
  <si>
    <t>Zhang, SK; E, DC; Wang, ZM</t>
  </si>
  <si>
    <t>Li, D; Xia, LY</t>
  </si>
  <si>
    <t>Zhang Shengkai; E Dongchen; Wang Zemin</t>
  </si>
  <si>
    <t>Ice velocities on the front of Amery Ice Shelf, East Antarctica, from static GPS observations</t>
  </si>
  <si>
    <t>GEOINFORMATICS 2006: GNSS AND INTEGRATED GEOSPATIAL APPLICATIONS</t>
  </si>
  <si>
    <t>14th International Conference on Geoinformatics</t>
  </si>
  <si>
    <t>OCT 28-29, 2006</t>
  </si>
  <si>
    <t>Wuhan, PEOPLES R CHINA</t>
  </si>
  <si>
    <t>Antarctica; GPS; Amery Ice Shelf; ice velocity</t>
  </si>
  <si>
    <t>LAMBERT-GLACIER; SYSTEM</t>
  </si>
  <si>
    <t>The Lambert Glacier-Amery Ice Shelf (LAS) system is the largest glacier-ice-shelf system in East Antarctica, the Amery Ice Shelf (AIS) and its tributaries drain ice from the LAS system. During the austral summer season of 2002/03, the 19th Chinese National Antarctica Research Expedition (CHINARE) carried out the first expedition on the Amery Ice Shelf and set up 7 GPS sites, During the austral summer season of 2003/04, the 20th Chinese National Antarctica Research Expedition (CHINARE) cooperated with Australian National Antarctica Research Expedition (ANARE) visited the Amery Ice Shelf again, 5 GPS sites were reoccupied. The GPS data were processed using the GAMIT/GLOBK software, and the surface ice velocities was calculated. Results show that surface horizontal velocities at the 5 GPS sites at the front of the Amery Ice Shelf vary between 900m/y and 1600m/y. Such studies are fundamental to improving our knowledge of the Antarctic ice sheet mass balance and dynamical models of ice/ocean interaction.</t>
  </si>
  <si>
    <t>[Zhang Shengkai; E Dongchen; Wang Zemin] Wuhan Univ, Chinese Antarctic Ctr Surveying &amp; Mapping, SGG, 129 Luoyu Rd, Wuhan 430079, Peoples R China</t>
  </si>
  <si>
    <t>Wuhan University</t>
  </si>
  <si>
    <t>Zhang, SK (corresponding author), Wuhan Univ, Chinese Antarctic Ctr Surveying &amp; Mapping, SGG, 129 Luoyu Rd, Wuhan 430079, Peoples R China.</t>
  </si>
  <si>
    <t>ZeMin, Wang/AAU-3422-2020</t>
  </si>
  <si>
    <t>State Bureau of Surveying and Mapping; Chinese Arctic and Antarctic Administration and Key Laboratory of Cryosphere and environment</t>
  </si>
  <si>
    <t>We thank the field teams of 19th and 20th Chinese National Antarctica Research Expedition (CHINARE) and Australian National Antarctic Research Expedition (ANARE). This work was supported by State Bureau of Surveying and Mapping, Chinese Arctic and Antarctic Administration and Key Laboratory of Cryosphere and environment.</t>
  </si>
  <si>
    <t>978-0-8194-6527-6</t>
  </si>
  <si>
    <t>64180Q</t>
  </si>
  <si>
    <t>10.1117/12.712643</t>
  </si>
  <si>
    <t>Computer Science, Information Systems; Geography, Physical; Remote Sensing</t>
  </si>
  <si>
    <t>Computer Science; Physical Geography; Remote Sensing</t>
  </si>
  <si>
    <t>BFW51</t>
  </si>
  <si>
    <t>WOS:000245102300027</t>
  </si>
  <si>
    <t>Bamber, JL; Ferraccioli, F; Joughin, I; Shepherd, T; Rippin, DM; Siegert, MJ; Vaughan, DG</t>
  </si>
  <si>
    <t>East Antarctic ice stream tributary underlain by major sedimentary basin</t>
  </si>
  <si>
    <t>GEOLOGY</t>
  </si>
  <si>
    <t>East Antarctica; marine sediments; magnetics; subglacial geology</t>
  </si>
  <si>
    <t>TRANSANTARCTIC MOUNTAINS; BENEATH; FLOW; SHEET; CONSTRAINTS; DYNAMICS; GLACIER; GEOLOGY; EROSION; BALANCE</t>
  </si>
  <si>
    <t>Marine and rift sediments exert a fundamental control on ice stream flow in the West Antarctic Ice Sheet, and hence on its mass balance and stability. In contrast, most ice streams in the much larger East Antarctic Ice Sheet are thought to be relatively stable features resting on till, perhaps underlain by crystalline rock. Any geological controls on East Antarctic Ice Sheet enhanced flow remain largely unknown. We present aerogeophysical evidence indicating that a region of enhanced ice flow in the interior of the East Antarctic Ice Sheet is underlain by subglacial sediments similar to 3 km thick and that these are influencing the flow regime of the overlying ice. We show that subglacial sediments are important in modulating ice dynamics, not just for the West Antarctic Ice Sheet, but also for its much larger neighbor, and suggest that the sedimentary basin identified here may contain information on the Neogene glacial history of this part of the East Antarctic Ice Sheet.</t>
  </si>
  <si>
    <t>Univ Bristol, Sch Geog Sci, Bristol Glaciol Ctr, Bristol BS8 1SS, Avon, England; British Antarctic Survey, Cambridge CB3 0ET, England; Univ Washington, Appl Phys Lab, Polar Sci Ctr, Seattle, WA 98105 USA; Univ Leeds, Sch Geog, Leeds LS2 9JT, W Yorkshire, England</t>
  </si>
  <si>
    <t>University of Bristol; UK Research &amp; Innovation (UKRI); Natural Environment Research Council (NERC); NERC British Antarctic Survey; University of Washington; University of Washington Seattle; University of Leeds</t>
  </si>
  <si>
    <t>Univ Bristol, Sch Geog Sci, Bristol Glaciol Ctr, Univ Rd, Bristol BS8 1SS, Avon, England.</t>
  </si>
  <si>
    <t>Vaughan, David/C-8348-2011; Siegert, Martin J/A-3826-2008; Bamber, Jonathan/C-7608-2011; Siegert, Martin/M-9939-2019; Joughin, Ian/AAR-7778-2021; Joughin, Ian R/A-2998-2008; Rippin, David Manish/AAW-5063-2021</t>
  </si>
  <si>
    <t>Siegert, Martin J/0000-0002-0090-4806; Bamber, Jonathan/0000-0002-2280-2819; Siegert, Martin/0000-0002-0090-4806; Joughin, Ian/0000-0001-6229-679X; Joughin, Ian R/0000-0001-6229-679X; Rippin, David Manish/0000-0001-7757-9880; Ferraccioli, Fausto/0000-0002-9347-4736; Vaughan, David/0000-0002-9065-0570</t>
  </si>
  <si>
    <t>GEOLOGICAL SOC AMER, INC</t>
  </si>
  <si>
    <t>PO BOX 9140, BOULDER, CO 80301-9140 USA</t>
  </si>
  <si>
    <t>0091-7613</t>
  </si>
  <si>
    <t>1943-2682</t>
  </si>
  <si>
    <t>10.1130/G22160.1</t>
  </si>
  <si>
    <t>001ZV</t>
  </si>
  <si>
    <t>WOS:000234582100011</t>
  </si>
  <si>
    <t>Chugunova, OM; Pilipenko, VF; Engebretson, M; Rodger, AS</t>
  </si>
  <si>
    <t>Chugunova, O. M.; Pilipenko, V. F.; Engebretson, M.; Rodger, A. S.</t>
  </si>
  <si>
    <t>Statistical characteristics of the spatial distribution of Pc3-4 geomagnetic pulsations at high latitudes in the antarctic regions</t>
  </si>
  <si>
    <t>GEOMAGNETISM AND AERONOMY</t>
  </si>
  <si>
    <t>CUSP</t>
  </si>
  <si>
    <t>The diurnal variations in the parameters of Pc3 (20-60 mHz) and Pc4 (10-19 mHz) pulsations at latitudes of the dayside cusp and polar cap have been studied using data of the magnetic stations of the trans-Antarctic meridional profile for the time interval from January to March 1997 (local summer) under weakly disturbed geomagnetic conditions (AE &lt;= 250 nT). The technique for estimating pulsation parameters is based on the separation of the wave packets and noise. The diurnal variations in the hourly average parameters of the wave packets in the Pc3 and Pc4 bands and noise in the Pc3-4 band (10-60 mHz)-the average number of wave packets, energy of wave packets and noise, and energy of a single wave packet-turned out to be different for the stations located deep in the polar cap (Phi similar to 87 degrees) and at the latitudes of the dayside polar cusp (Phi similar to 70 degrees) and auroral oval (Phi similar to 66 degrees). Several sources of pulsations caused by different channels of wave energy penetration into the magnetosphere through the dayside cusp, dayside magnetopause, and dawn flank of the magnetotail apparently exist at high latitudes.</t>
  </si>
  <si>
    <t>Russian Acad Sci, Schmidt Inst Phys Earth, Moscow 123810, Russia; Augsburg Coll, Dept Phys, Minneapolis, MN 55454 USA; British Antarctic Survey, Cambridge CB3 0ET, England</t>
  </si>
  <si>
    <t>Russian Academy of Sciences; Schmidt Institute of Physics of the Earth of the Russian Academy of Sciences; Augsburg University; UK Research &amp; Innovation (UKRI); Natural Environment Research Council (NERC); NERC British Antarctic Survey</t>
  </si>
  <si>
    <t>Chugunova, OM (corresponding author), Russian Acad Sci, Schmidt Inst Phys Earth, Bolshaya Gruzinskaya Ul 10, Moscow 123810, Russia.</t>
  </si>
  <si>
    <t>0016-7932</t>
  </si>
  <si>
    <t>1555-645X</t>
  </si>
  <si>
    <t>GEOMAGN AERONOMY+</t>
  </si>
  <si>
    <t>Geomagn. Aeron.</t>
  </si>
  <si>
    <t>10.1134/S0016793206010075</t>
  </si>
  <si>
    <t>140RR</t>
  </si>
  <si>
    <t>WOS:000244524600007</t>
  </si>
  <si>
    <t>Miller, AJ; Gabric, AJ; Moisan, JR; Chai, F; Neilson, DJ; Pierce, DW; Di Lorenzo, E</t>
  </si>
  <si>
    <t>Kawahata, H; Awaya, Y</t>
  </si>
  <si>
    <t>Miller, Arthur J.; Gabric, Albert J.; Moisan, John R.; Chai, Fei; Neilson, Douglas J.; Pierce, David W.; Di Lorenzo, Emanuele</t>
  </si>
  <si>
    <t>Global Change and Oceanic Primary Productivity: Effects of Ocean-Atmosphere-Biological Feedbacks</t>
  </si>
  <si>
    <t>GLOBAL CLIMATE CHANGE AND RESPONSE OF CARBON CYCLE IN THE EQUATORIAL PACIFIC AND INDIAN OCEANS AND ADJACENT LANDMASSES</t>
  </si>
  <si>
    <t>Elsevier Oceanography Series</t>
  </si>
  <si>
    <t>global change; climate feedbacks; ocean ecosystem; Pacific ocean; physical-biological interactions</t>
  </si>
  <si>
    <t>ANTARCTIC SOUTHERN-OCEAN; SEA-SURFACE TEMPERATURE; CARBON-CYCLE FEEDBACKS; EQUATORIAL PACIFIC; CALIFORNIA CURRENT; CLIMATE-CHANGE; COASTAL OCEAN; CLOUD ALBEDO; PHYTOPLANKTON BLOOM; THERMAL STRUCTURE</t>
  </si>
  <si>
    <t>Our current understanding of how climate change due to increasing greenhouse gases is expected to affect oceanic biology and of how the physical-biological feedbacks may influence the evolving physical climate system is summarized. The primary effects of ocean biology on physical climate include its influence on the carbon cycle, the influence of oceanic phytoplankton on upper-ocean absorption, and the influence of DMS production by phytoplankton on atmospheric aerosols. The primary influences of physical climate on the ocean biology are the influence of aoelian dust deposition and the multitude of ways that community structure can be altered. The focus is on the tropical and midlatitude Pacific Ocean, with results from other ocean basins also noted.</t>
  </si>
  <si>
    <t>[Miller, Arthur J.; Neilson, Douglas J.; Pierce, David W.] Univ Calif San Diego, Scripps Inst Oceanog, La Jolla, CA 92093 USA; [Gabric, Albert J.] Griffith Univ, Nathan, Qld 4111, Australia; [Moisan, John R.] NASA, Goddard Space Flight Ctr, Wallops Flight Facil, Wallops Isl, VA 23337 USA; [Chai, Fei] Univ Maine, Sch Marine Sci, Orono, ME 04469 USA; [Di Lorenzo, Emanuele] Georgia Inst Technol, Atlanta, GA 30332 USA</t>
  </si>
  <si>
    <t>University of California System; University of California San Diego; Scripps Institution of Oceanography; Griffith University; National Aeronautics &amp; Space Administration (NASA); NASA Goddard Space Flight Center; Wallops Flight Facility; University of Maine System; University of Maine Orono; University System of Georgia; Georgia Institute of Technology</t>
  </si>
  <si>
    <t>Miller, AJ (corresponding author), Univ Calif San Diego, Scripps Inst Oceanog, La Jolla, CA 92093 USA.</t>
  </si>
  <si>
    <t>ajmiller@ucsd.edu</t>
  </si>
  <si>
    <t>Di Lorenzo, Emanuele/E-9107-2012; Moisan, John R/B-8762-2016; Gabric, Albert J/S-1551-2017</t>
  </si>
  <si>
    <t>Di Lorenzo, Emanuele/0000-0002-1935-7363;</t>
  </si>
  <si>
    <t>SARA BURGERHARTSTRAAT 25, PO BOX 211, 1000 AE AMSTERDAM, NETHERLANDS</t>
  </si>
  <si>
    <t>0422-9894</t>
  </si>
  <si>
    <t>978-0-08-046941-6; 978-0-444-52948-0</t>
  </si>
  <si>
    <t>ELSEV OCEANOGR SERIE</t>
  </si>
  <si>
    <t>Elsevier Oceanogr. Ser.</t>
  </si>
  <si>
    <t>Ecology; Environmental Sciences; Oceanography</t>
  </si>
  <si>
    <t>Environmental Sciences &amp; Ecology; Oceanography</t>
  </si>
  <si>
    <t>BCT53</t>
  </si>
  <si>
    <t>WOS:000311358100002</t>
  </si>
  <si>
    <t>Rao, J; Biswas, S</t>
  </si>
  <si>
    <t>Rao, Jayanthi; Biswas, Subir</t>
  </si>
  <si>
    <t>Controlled Node Mobility: A Mechanism for Energy Load Distribution in Sensor Networks</t>
  </si>
  <si>
    <t>GLOBECOM 2006 - 2006 IEEE GLOBAL TELECOMMUNICATIONS CONFERENCE</t>
  </si>
  <si>
    <t>IEEE Global Telecommunications Conference (Globecom)</t>
  </si>
  <si>
    <t>IEEE Global Telecommunications Conference (GLOBECOM 06)</t>
  </si>
  <si>
    <t>NOV 27-DEC 01, 2006</t>
  </si>
  <si>
    <t>San Francisco, CA</t>
  </si>
  <si>
    <t>Localized algorithms; controlled mobility; sensor networks; biologically inspired; energy efficiency; network life</t>
  </si>
  <si>
    <t>This paper presents a mechanism for extending network life by introducing energy-aware mobility in wireless sensor networks. The concept of controlled mobility for energy saving has been motivated by a natural grouping behavior that is observed in Emperor penguins in the Antarctic region. As a survival strategy during the winters, large groups of emperor penguins form a closely huddled group to improve their collective heat insulation. Individual penguins within a group exhibit a local mobility pattern that ensures that each individual spends equal amount of time at the periphery of the group, where the heat loss is the maximum. In this paper, we first draw a parallel between the heat loss of a penguin at the group periphery, and the routing energy burden of a sensor node near base stations. Then we develop a distributed and fully localized mobility control algorithm for collective extension of the network life. Experimental results demonstrate that the proposed controlled mobility can significantly extend a sensor network's operating life even in situations where the energy cost of physical node movement is modeled as high as up to four orders of magnitude larger than the energy cost for packet communication.</t>
  </si>
  <si>
    <t>[Rao, Jayanthi; Biswas, Subir] Michigan State Univ, Dept Elect &amp; Comp Engn, E Lansing, MI 48824 USA</t>
  </si>
  <si>
    <t>Michigan State University</t>
  </si>
  <si>
    <t>Biswas, S (corresponding author), Michigan State Univ, Dept Elect &amp; Comp Engn, E Lansing, MI 48824 USA.</t>
  </si>
  <si>
    <t>jayanthi@egr.msu.edu; sbiswas@egr.msu.edu</t>
  </si>
  <si>
    <t>1930-529X</t>
  </si>
  <si>
    <t>978-1-4244-0356-1</t>
  </si>
  <si>
    <t>GLOB TELECOMM CONF</t>
  </si>
  <si>
    <t>Engineering, Electrical &amp; Electronic; Telecommunications</t>
  </si>
  <si>
    <t>Engineering; Telecommunications</t>
  </si>
  <si>
    <t>BUC00</t>
  </si>
  <si>
    <t>WOS:000288765605046</t>
  </si>
  <si>
    <t>Bortoletto, F; D'Alessandro, M; Giro, E; Magrin, D; Corcione, L; Pelusi, D; Giuliani, C; di Cianno, A</t>
  </si>
  <si>
    <t>Mclean, IS; Iye, M</t>
  </si>
  <si>
    <t>Bortoletto, F.; D'Alessandro, M.; Giro, E.; Magrin, D.; Corcione, L.; Pelusi, D.; Giuliani, C.; di Cianno, A.</t>
  </si>
  <si>
    <t>Control system architecture for AMICA: the Antarctic NIR/MIR camera for IRAIT</t>
  </si>
  <si>
    <t>GROUND-BASED AND AIRBORNE INSTRUMENTATION FOR ASTRONOMY, PTS 1- 3</t>
  </si>
  <si>
    <t>Conference on Ground-Based and Airborne Instrumentation for Astronomy</t>
  </si>
  <si>
    <t>MAY 25-29, 2006</t>
  </si>
  <si>
    <t>Orlando, FL</t>
  </si>
  <si>
    <t>Antarctica; infrared detector; control systems; electronics</t>
  </si>
  <si>
    <t>PLATEAU</t>
  </si>
  <si>
    <t>The HLUT project is aimed at preparing the first permanent observatory, a 80 cm class telescope, at Dome C, a site located at 3200 height on the Antarctic plateau. To exploit the high-quality and low-sky-background conditions offered by the site in spectral regions beyond 20 um, IRAIT telescope will be equipped at its Nasmyth focus by a dual feed infrared camera: a near/medium infrared camera (AMICA) designed to be operated by a Si:As detector array sensitivity in the range 5-28 mu m, and a In:Sb detector array covering the shorter spectral range down to J band. AMICA is a joint effort of several Italian institutions (OANH, OATO, OAPD) led by the Teramo Observatory, belonging to Istituto Nazionale di Astrofisica (INAF). The importance of this instrument is twofold: AMICA is expected to provide extensive surveys of the southern sky in K,L,MN and Q bands, and to give a direct estimate of the observational quality of this highly promising site. To face the prohibitive Antarctic environment, the telescope should be fully robotic and operations for the telescope and its instrumentation remotely controlled. Careful consideration is to be devoted to the design and integration of the control system, besides the accurate insulation for all the equipment. In the present paper we will provide an overview of the AMCA camera focused on the detectors control electronics, the solutions adopted to reduce the impact with a severe environment and the present status of the project.</t>
  </si>
  <si>
    <t>[Bortoletto, F.; D'Alessandro, M.; Giro, E.; Magrin, D.] Osserv Astron Padova, INAF, Padua, Italy; [Corcione, L.] Osserv Astron Torino, INAF, Turin, Italy; [Pelusi, D.; Giuliani, C.; di Cianno, A.] Osservatorio Astron Teramo, INAF, Teramo, Italy</t>
  </si>
  <si>
    <t>Istituto Nazionale Astrofisica (INAF); University of Padua; Istituto Nazionale Astrofisica (INAF); Istituto Nazionale Astrofisica (INAF)</t>
  </si>
  <si>
    <t>Bortoletto, F (corresponding author), Osserv Astron Padova, INAF, Padua, Italy.</t>
  </si>
  <si>
    <t>Favio.bortoletto@oapd.inaf.it</t>
  </si>
  <si>
    <t>Giro, Enrico/JGD-2364-2023</t>
  </si>
  <si>
    <t>Giro, Enrico/0000-0001-7301-8285; corcione, leonardo/0000-0002-6497-5881; d'alessandro, maurizio/0000-0002-8318-0988; Magrin, Demetrio/0000-0003-0312-313X</t>
  </si>
  <si>
    <t>0-8194-6334-5</t>
  </si>
  <si>
    <t>1-3</t>
  </si>
  <si>
    <t>62695A</t>
  </si>
  <si>
    <t>10.1117/12.672802</t>
  </si>
  <si>
    <t>Astronomy &amp; Astrophysics; Instruments &amp; Instrumentation; Optics; Spectroscopy</t>
  </si>
  <si>
    <t>BEZ53</t>
  </si>
  <si>
    <t>WOS:000240348500169</t>
  </si>
  <si>
    <t>Moore, A; Aristidi, E; Ashley, M; Busso, M; Candidi, M; Everett, J; Kenyon, S; Lawrence, J; Luong-Van, D; Phillips, A; Le Roux, B; Ragazzoni, R; Salinari, P; Storey, J; Taylor, M; Tosti, G; Travouillon, T</t>
  </si>
  <si>
    <t>Moore, Anna; Aristidi, Eric; Ashley, Michael; Busso, Maurizio; Candidi, Maurizio; Everett, Jon; Kenyon, Suzanne; Lawrence, Jon; Luong-Van, D.; Phillips, Andre; Le Roux, Brice; Ragazzoni, Roberto; Salinari, Piero; Storey, John; Taylor, Melinda; Tosti, Gino; Travouillon, Tony</t>
  </si>
  <si>
    <t>Ground-layer turbulence profiling using a lunar SHABAR</t>
  </si>
  <si>
    <t>DOME-C; ANTARCTICA; TELESCOPE; SCINTILLATION</t>
  </si>
  <si>
    <t>Profiling the ground layer turbulence for daytime seeing applications using an array of photodiodes has been documented in literature, in particular by Beckers who coined the term SHABAR for the instrument, short for Shadow Band Ranger. In this case the photodiodes measure the variation of solar intensity as a function of time and the correlation of scintillation between spatially separated scintillometers can be used to derive structure constant values for the lower 100m or so. More recently SHABARs have been applied to night time atmospheric profiling using the moon as the extended source, such as the Pan-STARRS lunar SHABAR, a more challenging venture given the lower structure constant values and therefore higher sensitivity required. We present a summary of the lunar SHABAR currently operating at the Antarctic site of Dome C, one of the three Gattini site testing instruments for the Italian-led IRAIT project. The SHABAR was designed with low noise performance in mind and for low temperature operation. Ground layer profiling is of particular importance at the Dome C site during winter-time as it is known the majority of the integrated seeing measured at ground level is created in a turbulent layer very close to the ground.</t>
  </si>
  <si>
    <t>[Moore, Anna; Travouillon, Tony] CALTECH, Pasadena, CA 91125 USA; [Aristidi, Eric] Univ Nice, LUAN, F-06108 Nice, France; [Ashley, Michael; Everett, Jon; Kenyon, Suzanne; Lawrence, Jon; Luong-Van, D.; Phillips, Andre] Univ New South Wales, Sch Phys, Sydney, NSW 2052, Australia; [Busso, Maurizio] Univ Perugia, Dipartimento Fis, I-06123 Perugia, Italy; [Candidi, Maurizio] CNR, Ist Fis Spazio, Rome, Italy; [Candidi, Maurizio] ENEA, Programma Nazl Ric Antartie, Rome, Italy; [Le Roux, Brice; Ragazzoni, Roberto; Salinari, Piero] Osserv Astrofis Arcetri, I-50125 Florence, Italy</t>
  </si>
  <si>
    <t>California Institute of Technology; Universite Cote d'Azur; University of New South Wales Sydney; University of Perugia; Consiglio Nazionale delle Ricerche (CNR); Italian National Agency New Technical Energy &amp; Sustainable Economics Development; Istituto Nazionale Astrofisica (INAF)</t>
  </si>
  <si>
    <t>Moore, A (corresponding author), CALTECH, Pasadena, CA 91125 USA.</t>
  </si>
  <si>
    <t>amoore@astro.caltech.edu</t>
  </si>
  <si>
    <t>Tosti, Gino/E-9976-2013; Busso, Maurizio Maria/K-7075-2015</t>
  </si>
  <si>
    <t>Tosti, Gino/0000-0002-0839-4126; Lawrence, Jon/0000-0002-6998-6993; Aristidi, Eric/0000-0001-9886-7670; Ragazzoni, Roberto/0000-0002-7697-5555; Travouillon, Tony/0000-0001-9304-6718; Busso, Maurizio Maria/0000-0001-8944-5820; Ashley, Michael/0000-0003-1412-2028; Moore, Anna/0000-0002-2894-6936</t>
  </si>
  <si>
    <t>62695U</t>
  </si>
  <si>
    <t>10.1117/12.672640</t>
  </si>
  <si>
    <t>WOS:000240348500188</t>
  </si>
  <si>
    <t>Cui, XQ; Zhao, YH; Wang, YN; Li, GP</t>
  </si>
  <si>
    <t>Stepp, LM</t>
  </si>
  <si>
    <t>Cui, Xiangqun; Zhao, Yongheng; Wang, Yanan; Li, Guoping</t>
  </si>
  <si>
    <t>2-m LAMOST-type telescope for the Antarctic</t>
  </si>
  <si>
    <t>GROUND-BASED AND AIRBORNE TELESCOPES, PTS 1 AND 2</t>
  </si>
  <si>
    <t>Conference on Ground-Based and Airborne Telescopes</t>
  </si>
  <si>
    <t>MAY 24-31, 2006</t>
  </si>
  <si>
    <t>astronomical telescope; active optics; multi-fiber spectroscopy; Antarctic astronomy</t>
  </si>
  <si>
    <t>SCHMIDT TELESCOPE</t>
  </si>
  <si>
    <t>The Large-Sky-Area Multi-object Fiber Spectroscopic Telescope (LAMOST) put forward by Shou-guan Wang and Ding-qiang Su is a special reflecting Schmidt telescope with the spherical mirror fixed and the correcting plate acts as both correcting plate and tractor. The correcting plate is installed on an alt-azimuth mounting and its aspherical figure is variable to meet the requirement for eliminate the spherical aberration of the spherical primary mirror when it is at variant orientations during the observation course and for different sky area. With LAMOST, both large aperture and large field of view can been obtained. Benefited from the LAMOST design and practice, a LAMOST-type telescope for full-sky survey is conceived for the Antarctic. Because of the favorable seeing condition and all-winter continuous observation, a telescope with aperture of the 2-m could be equivalent to the 4-m LAMOST. We preliminarily considered a 2-m telescope with a primary focus and a Cassegrain focus. The f-ratio of 5 and FOV 3-degree for the primary focus, and f-ratio of 15 and 8 minutes FOV with the diffraction limited image for the Cassegrain focus. In this paper, the scientific goals, the optical system of the telescope, particular material and technique which are applicable under the extreme low temperature condition at the Antarctic are described.</t>
  </si>
  <si>
    <t>[Cui, Xiangqun; Wang, Yanan; Li, Guoping] Chinese Acad Sci, Natl Astron Observ, Nanjing Inst Astron Opt &amp; Technol, 188 Bancang St, Nanjing 210042, Jiangsu, Peoples R China; [Zhao, Yongheng] Chinese Acad Sci, Natl Astron Observ, Beijing 100012, Peoples R China</t>
  </si>
  <si>
    <t>Chinese Academy of Sciences; National Astronomical Observatory, CAS; Nanjing Institute of Astronomical Optics &amp; Technology, NAOC, CAS; Chinese Academy of Sciences; National Astronomical Observatory, CAS</t>
  </si>
  <si>
    <t>Cui, XQ (corresponding author), Chinese Acad Sci, Natl Astron Observ, Nanjing Inst Astron Opt &amp; Technol, 188 Bancang St, Nanjing 210042, Jiangsu, Peoples R China.</t>
  </si>
  <si>
    <t>xcui@niaot.ac.cn</t>
  </si>
  <si>
    <t>Li, Guoping/D-1654-2017; Zhao, Yongheng/L-7660-2019</t>
  </si>
  <si>
    <t>Zhao, Yongheng/0000-0001-5298-2833</t>
  </si>
  <si>
    <t>0-8194-6332-9</t>
  </si>
  <si>
    <t>1&amp;2</t>
  </si>
  <si>
    <t>62671J</t>
  </si>
  <si>
    <t>10.1117/12.671265</t>
  </si>
  <si>
    <t>Astronomy &amp; Astrophysics; Instruments &amp; Instrumentation; Optics</t>
  </si>
  <si>
    <t>BEX64</t>
  </si>
  <si>
    <t>WOS:000240018600051</t>
  </si>
  <si>
    <t>Dolci, M; Straniero, O; Valentini, G; Di Rico, G; Ragni, M; Peiusi, D; Di Varano, I; Giuliani, C; Di Cianno, A; Valentini, A; Corcione, L; Bortoletto, F; D'Alessandro, M; Bonoli, C; Giro, E; Fantinel, D; Magrin, D; Zerbi, FM; Riva, A; Molinari, E; Conconi, P; De Caprio, V; Busso, M; Tosti, G; Nucciarelli, G; Roncella, F; Abia, C</t>
  </si>
  <si>
    <t>Dolci, Mauro; Straniero, Oscar; Valentini, Gaetano; Di Rico, Gianluca; Ragni, Maurizio; Peiusi, Danilo; Di Varano, Igor; Giuliani, Croce; Di Cianno, Amico; Valentini, Angelo; Corcione, Leonardo; Bortoletto, Favio; D'Alessandro, Maurizio; Bonoli, Carlotta; Giro, Enrico; Fantinel, Daniela; Magrin, Demetrio; Zerbi, Filippo Maria; Riva, Alberto; Molinari, Emilio; Conconi, Paolo; De Caprio, Vincenzo; Busso, Maurizio; Tosti, Gino; Nucciarelli, Giuliano; Roncella, Fabio; Abia, Carlos</t>
  </si>
  <si>
    <t>IRAIT Team</t>
  </si>
  <si>
    <t>AMICA (Antarctic Multiband Infrared Camera) project</t>
  </si>
  <si>
    <t>Antarctica; Dome C; infrared camera; near-infrared; mid-infrared</t>
  </si>
  <si>
    <t>DOME-C; TELESCOPE</t>
  </si>
  <si>
    <t>The Antarctic Plateau offers unique opportunities for ground-based Infrared Astronomy. AMICA (Antarctic Multiband Infrared CAmera) is an instrument designed to perform astronomical imaging from Dome-C in the near- (1 - 5 mu m) and mid- (5 - 27 mu m) infrared wavelength regions. The camera consists of two channels, equipped with a Raytheon InSb 256 array detector and a DRS MF-128 Si:As IBC array detector, cryocooled at 35 and 7 K respectively. Cryogenic devices will move a filter wheel and a sliding mirror, used to feed alternatively the two detectors. Fast control and readout, synchronized with the chopping secondary mirror of the telescope, will be required because of the large background expected at these wavelengths, especially beyond 10 mu m. An environmental control system is needed to ensure the correct start-up, shut-down and housekeeping of the camera. The main technical challenge is represented by the extreme environmental conditions of Dome (T similar to -90 degrees C, p similar to 640 mbar) and the need for a complete automatization of the overall system. AMICA will be mounted at the Nasmyth focus of the 80 cm IRAIT telescope and will perform survey-mode automatic observations of selected regions of the Southern sky. The first goal will be a direct estimate of the observational quality of this new highly promising site for Infrared Astronomy. In addition, IRAIT, equipped with AMICA, is expected to provide a significant improvement in the knowledge of fundamental astrophysical processes, such as the late stages of stellar evolution (especially AGB and post-AGB stars) and the star formation.</t>
  </si>
  <si>
    <t>[Dolci, Mauro; Straniero, Oscar; Valentini, Gaetano; Di Rico, Gianluca; Ragni, Maurizio; Peiusi, Danilo; Di Varano, Igor; Giuliani, Croce; Di Cianno, Amico; Valentini, Angelo] OACTe, INAF, Via M Maggini Snc, I-64100 Teramo, Italy; [Corcione, Leonardo] OATo, INAF, I-10025 Turin, Italy; [Bortoletto, Favio; D'Alessandro, Maurizio; Bonoli, Carlotta; Giro, Enrico; Fantinel, Daniela; Magrin, Demetrio] OAPd, INAF, I-35122 Padua, Italy; [Zerbi, Filippo Maria; Riva, Alberto; Molinari, Emilio; Conconi, Paolo; De Caprio, Vincenzo] OAMi, INAF, Sede Merate, I-23807 Merate, Lecco, Italy; [Busso, Maurizio; Tosti, Gino; Nucciarelli, Giuliano; Roncella, Fabio] Univ Perugia, Dept Phys, I-06100 Perugia, Italy; [Abia, Carlos] Univ Granada, Theor &amp; Cosm Phys Dept, E-18071 Granada, Spain</t>
  </si>
  <si>
    <t>Istituto Nazionale Astrofisica (INAF); Istituto Nazionale Astrofisica (INAF); Istituto Nazionale Astrofisica (INAF); University of Padua; Istituto Nazionale Astrofisica (INAF); University of Perugia; University of Granada</t>
  </si>
  <si>
    <t>Dolci, M (corresponding author), OACTe, INAF, Via M Maggini Snc, I-64100 Teramo, Italy.</t>
  </si>
  <si>
    <t>dolci@oa-teramo.inaf.it</t>
  </si>
  <si>
    <t>Tosti, Gino/E-9976-2013; Giro, Enrico/JGD-2364-2023; Molinari, Emilio/GYR-1322-2022; Busso, Maurizio Maria/K-7075-2015; Abia Ladron De Guevara, Carlos Antonio/O-9585-2017</t>
  </si>
  <si>
    <t>Tosti, Gino/0000-0002-0839-4126; Molinari, Emilio/0000-0002-1742-7735; Zerbi, Filippo Maria/0000-0002-9996-973X; Busso, Maurizio Maria/0000-0001-8944-5820; Dolci, Mauro/0000-0001-8000-5642; Fantinel, Daniela/0000-0001-8152-9480; Giro, Enrico/0000-0001-7301-8285; corcione, leonardo/0000-0002-6497-5881; Riva, Alberto/0000-0002-6928-8589; Di Rico, Gianluca/0000-0002-5213-8269; De Caprio, Vincenzo/0000-0002-4587-8963; Straniero, Oscar/0000-0002-5514-6125; Magrin, Demetrio/0000-0003-0312-313X; d'alessandro, maurizio/0000-0002-8318-0988; Abia Ladron De Guevara, Carlos Antonio/0000-0002-5665-2716</t>
  </si>
  <si>
    <t>62671I</t>
  </si>
  <si>
    <t>10.1117/12.670795</t>
  </si>
  <si>
    <t>WOS:000240018600050</t>
  </si>
  <si>
    <t>Geissler, K; Masciadri, E</t>
  </si>
  <si>
    <t>Geissler, Kerstin; Masciadri, Elena</t>
  </si>
  <si>
    <t>Meteorologic parameters analysis above Dome C made with ECMWF data</t>
  </si>
  <si>
    <t>atmospheric turbulence; site testing</t>
  </si>
  <si>
    <t>ATMOSPHERIC NUMERICAL-MODEL; HIGH-ANTARCTIC PLATEAU; OPTICAL TURBULENCE; SIMULATIONS; ASTRONOMY</t>
  </si>
  <si>
    <t>In this paper we present the characterization of some of the principal meteorological parameters extended over 25 km from the ground and over two years (2003 and 2004) above the Antarctic site of Dome C. The data set is composed by 'analyses' provided by the General Circulation Model (GCM) of the European Center for Medium Weather Forecasts (ECMWF) and they are part of the catalog MARS. A monthly and seasonal (summer and winter time) statistical analysis of the results is presented. The Richardson number is calculated for each month of the year over 25 km to study the stability/instability of the atmosphere. This permits us to trace a map indicating where and when the optical turbulence has the highest probability to be triggered on the whole troposphere, tropopause and stratosphere. We finally try to predict the best expected isoplanatic angle and wavefront coherence time and a (theta(0,max) and a tau(0,max)) employing the Richardson number maps, the wind speed profiles and simple analytical models of C-N(2) vertical profiles.</t>
  </si>
  <si>
    <t>[Geissler, Kerstin] European Southern Observ, Alonso Cordova 3107, Santiago 19, Chile; [Masciadri, Elena] INAF, Osservatorio Astrofis Arcetri, Florence, Italy; [Geissler, Kerstin; Masciadri, Elena] Max Planck Inst Astron, D-69117 Heidelberg, Germany</t>
  </si>
  <si>
    <t>European Southern Observatory; Istituto Nazionale Astrofisica (INAF); Max Planck Society</t>
  </si>
  <si>
    <t>Geissler, K (corresponding author), European Southern Observ, Alonso Cordova 3107, Santiago 19, Chile.</t>
  </si>
  <si>
    <t>masciadri@arcetri.astro.it</t>
  </si>
  <si>
    <t>Masciadri, Elena/AAC-5611-2021</t>
  </si>
  <si>
    <t>Masciadri, Elena/0000-0002-0450-4092</t>
  </si>
  <si>
    <t>Special Project; Pellegrini (PNRA); Community's Sixth Framework Programme; Marie Curie Excellence Grant (FOROT)</t>
  </si>
  <si>
    <t>Special Project; Pellegrini (PNRA); Community's Sixth Framework Programme(European Union (EU)); Marie Curie Excellence Grant (FOROT)(European Union (EU))</t>
  </si>
  <si>
    <t>Data-sets from MARS catalog (ECMWF) were used in this paper. This study was supported by the Special Project (spdesee) - ECMWF-http://www.ecmwf.int/about/special projects/index.html. We thanks the team of LUAN (Nice - France): Jean Vernin, Max Azouit, Eric Aristidi, Karim Agabi and Eric Fossat for kindly providing us the wind speed vertical profile published in Aristidi et al. (2005a). We thanks A. Pellegrini (PNRA) for his kindly support to this study. This work was supported, in part, by the Communitys Sixth Framework Programme and the Marie Curie Excellence Grant (FOROT).</t>
  </si>
  <si>
    <t>10.1117/12.672299</t>
  </si>
  <si>
    <t>WOS:000240018600043</t>
  </si>
  <si>
    <t>Kenyon, SL; Ashley, MCB; Everett, J; Lawrence, JS; Storey, JWV</t>
  </si>
  <si>
    <t>Kenyon, Suzanne L.; Ashley, Michael C. B.; Everett, Jon; Lawrence, Jon S.; Storey, John W. V.</t>
  </si>
  <si>
    <t>Nigel and the optical sky brightness at Dome C, Antarctica</t>
  </si>
  <si>
    <t>site testing; Antarctica; sky brightness</t>
  </si>
  <si>
    <t>ENERGY LEVELS; SPECTRA</t>
  </si>
  <si>
    <t>The brightness of the night sky at an astronomical site is one of the principal factors that determine the quality of available optical observing time. At any site the optical night sky is always brightened with airglow, zodiacal light, integrated starlight, diffuse Galactic light and extra-galactic light. Further brightening can be caused by scattered sunlight, aurorae, moonlight and artificial sources. Dome C exhibits many characteristics that are extremely favourable to optical and IR astronomy; however, at this stage few measurements have been made of the brightness of the optical night sky. Nigel is a fibre-fed UV/visible grating spectrograph with a thermoelectrically cooled 256 x 1024 pixel CCD camera, and is designed to measure the twilight and night sky brightness at Dome C from 250 nm to 900 nm. We present details of the design, calibration and installation of Nigel in the AASTINO laboratory at Dome C, together with a summary of the known properties of the Dome C sky.</t>
  </si>
  <si>
    <t>[Kenyon, Suzanne L.; Ashley, Michael C. B.; Everett, Jon; Lawrence, Jon S.; Storey, John W. V.] Univ New South Wales, Sch Phys, Sydney, NSW 2052, Australia</t>
  </si>
  <si>
    <t>University of New South Wales Sydney</t>
  </si>
  <si>
    <t>Kenyon, SL (corresponding author), Univ New South Wales, Sch Phys, Sydney, NSW 2052, Australia.</t>
  </si>
  <si>
    <t>suzanne@phys.unsw.edu.au</t>
  </si>
  <si>
    <t>Ashley, Michael/0000-0003-1412-2028; Lawrence, Jon/0000-0002-6998-6993</t>
  </si>
  <si>
    <t>Australian Research Council; Australian Antarctic Division; Australian Postgraduate Award; Australian Antarctic Division top-up scholarship</t>
  </si>
  <si>
    <t>Australian Research Council(Australian Research Council); Australian Antarctic Division; Australian Postgraduate Award(Australian Government); Australian Antarctic Division top-up scholarship</t>
  </si>
  <si>
    <t>We would like to thank the Australian Research Council and the Australian Antarctic Division for financial support, and the French (IPEV) and Italian (PNRA) Antarctic programs for logistical support. We thank our colleagues from the University of Nice for their assistance when we were setting up the experiment at Dome C. SLK is supported by an Australian Postgraduate Award and by an Australian Antarctic Division top-up scholarship.</t>
  </si>
  <si>
    <t>62671M</t>
  </si>
  <si>
    <t>10.1117/12.672362</t>
  </si>
  <si>
    <t>WOS:000240018600054</t>
  </si>
  <si>
    <t>Lawrence, JS; Ashley, MCB; Burton, MG; Cui, X; Everett, JR; Indermuehle, BT; Kenyon, SL; Luong-Van, D; Moore, AM; Storey, JWV; Tokovinin, A; Travouillon, T; Pennypacker, C; Wang, L; York, D</t>
  </si>
  <si>
    <t>Lawrence, J. S.; Ashley, M. C. B.; Burton, M. G.; Cui, X.; Everett, J. R.; Indermuehle, B. T.; Kenyon, S. L.; Luong-Van, D.; Moore, A. M.; Storey, J. W. V.; Tokovinin, A.; Travouillon, T.; Pennypacker, C.; Wang, L.; York, D.</t>
  </si>
  <si>
    <t>Site testing Dome A, Antarctica</t>
  </si>
  <si>
    <t>site testing; Antarctic astronomy</t>
  </si>
  <si>
    <t>SOUTH-POLE; ATMOSPHERIC-TURBULENCE; SKY BRIGHTNESS; ASTRONOMY</t>
  </si>
  <si>
    <t>Recent data have shown that Dome C, on the Antarctic plateau, is an exceptional site for astronomy, with atmospheric conditions superior to those at any existing mid-latitude site. Dome C, however, may not be the best site on the Antarctic plateau for every kind of astronomy. The highest point of the plateau is Dome A, some 800 in higher than Dome C. It should experience colder atmospheric temperatures, lower wind speeds, and a turbulent boundary layer that is confined closer to the ground. The Dome A site was first visited in January 2005 via an overland traverse, conducted by the Polar Research Institute of China. The PRIC plans to return to the site to establish a permanently manned station within the next decade. The University of New South Wales, in collaboration with a number of international institutions, is currently developing a remote automated site testing observatory for deployment to Dome A in the 2007/8 austral summer as part of the International Polar Year. This self-powered observatory will be equipped with a suite of site testing instruments measuring turbulence, optical and infrared sky background, and sub-millimetre transparency. We present here a discussion of the objectives of the site testing campaign and the planned configuration of the observatory.</t>
  </si>
  <si>
    <t>[Lawrence, J. S.; Ashley, M. C. B.; Burton, M. G.; Cui, X.; Everett, J. R.; Indermuehle, B. T.; Kenyon, S. L.; Luong-Van, D.; Moore, A. M.; Storey, J. W. V.; Tokovinin, A.; Travouillon, T.; Pennypacker, C.; Wang, L.; York, D.] Univ New S Wales, Sch Phys, Kensington, NSW 2033, Australia</t>
  </si>
  <si>
    <t>Lawrence, JS (corresponding author), Univ New S Wales, Sch Phys, Kensington, NSW 2033, Australia.</t>
  </si>
  <si>
    <t>jl@phys.unsw.edu.au</t>
  </si>
  <si>
    <t>Indermuehle, Balthasar/AAB-3527-2022; Tokovinin, Andrei/AAG-3702-2020</t>
  </si>
  <si>
    <t>Indermuehle, Balthasar/0000-0003-1479-7949; Tokovinin, Andrei/0000-0002-2084-0782; Moore, Anna/0000-0002-2894-6936; Travouillon, Tony/0000-0001-9304-6718; Lawrence, Jon/0000-0002-6998-6993; Ashley, Michael/0000-0003-1412-2028; Burton, Michael/0000-0001-7289-1998</t>
  </si>
  <si>
    <t>62671L</t>
  </si>
  <si>
    <t>10.1117/12.670960</t>
  </si>
  <si>
    <t>WOS:000240018600053</t>
  </si>
  <si>
    <t>Storey, J; Angel, R; Lawrence, J; Hinz, P; Ashley, M; Burton, M</t>
  </si>
  <si>
    <t>Storey, John; Angel, Roger; Lawrence, Jon; Hinz, Phil; Ashley, Michael; Burton, Michael</t>
  </si>
  <si>
    <t>LAPCAT: the Large Antarctic Plateau Clear-Aperture Telescope</t>
  </si>
  <si>
    <t>telescopes; Antarctica; exoplanets; adaptive optics; infrared; off-axis</t>
  </si>
  <si>
    <t>DOME-C; SKY BRIGHTNESS; OFF-AXIS; PERFORMANCE; PATHFINDER; ASTRONOMY; PROJECT; DWARFS</t>
  </si>
  <si>
    <t>We present a proposal for an 8.4 metre off-axis optical/IR telescope to be located at Dome C, Antarctica. LAPCAT will use a mirror identical to the offset segment recently cast for the Giant Magellan Telescope (GMT) as a completely unobscured f/2.1 primary. With a cooled deformable Gregorian secondary in a dewar following prime focus, LAPCAT will allow for diffraction-limited imaging with only a single reflecting surface at similar to 220K, and thus the lowest possible thermal background obtainable on earth. The exceptionally low atmospheric turbulence above Dome C enables very high contrast imaging in the thermal infrared, and diffraction limited imaging extending to optical wavelengths (20 mas at 800 nm, where Strehl ratios &gt; 60% are projected). As an example, a deep 5 mu m exoplanet imaging survey to complement current radial velocity methods could take advantage of both the low background and pupil remapping methods for apodization enabled by the clear aperture. Many new, young, giant planets (&gt;= 3M(J) at 1 Gyr) would be detected in orbits &gt;= 5 AU out to 20 pc. By providing a test bed for many of the GMT technologies in an Antarctic environment, LAPCAT also paves the way for the eventual construction of a second GMT at Dome C. Such a telescope would have unparalleled capabilities compared both to other ELTs in temperate sites and to JWST.</t>
  </si>
  <si>
    <t>[Storey, John; Lawrence, Jon; Ashley, Michael; Burton, Michael] Univ New South Wales, Sch Phys, Sydney, NSW 2052, Australia; [Angel, Roger; Hinz, Phil] Univ Arizona, Steward Observ, Tucson, AZ 85721 USA</t>
  </si>
  <si>
    <t>University of New South Wales Sydney; University of Arizona</t>
  </si>
  <si>
    <t>Storey, J (corresponding author), Univ New South Wales, Sch Phys, Sydney, NSW 2052, Australia.</t>
  </si>
  <si>
    <t>j.storey@unsw.edu.au</t>
  </si>
  <si>
    <t>Ashley, Michael/0000-0003-1412-2028; Burton, Michael/0000-0001-7289-1998; Hinz, Philip/0000-0002-1954-4564; Lawrence, Jon/0000-0002-6998-6993</t>
  </si>
  <si>
    <t>62671E</t>
  </si>
  <si>
    <t>10.1117/12.672159</t>
  </si>
  <si>
    <t>WOS:000240018600047</t>
  </si>
  <si>
    <t>Swain, MR; Gallée, H</t>
  </si>
  <si>
    <t>Swain, M. R.; Gallee, H.</t>
  </si>
  <si>
    <t>A comparison of possible Antarctic telescope locations</t>
  </si>
  <si>
    <t>site testing; Antarctica; Dome C; seeing; water vapor</t>
  </si>
  <si>
    <t>DOME-C; SOUTH-POLE; TURBULENCE</t>
  </si>
  <si>
    <t>We present preliminary results of a comparison of possible Antarctic telescope locations based on the results of a regional climate model. The simulation results include predictions for temperature, wind speed, seeing, precipitable water vapor, and cloud cover. The domain of the simulation is the entire Antarctic continent for the 2004 winter season. By incorporating lateral forcing, our simulation captures the effects of weather systems that can affect even the interior regions of the Antarctic plateau. The simulation also shows maritime air advection into the plateau interior. We find the model predictions are generally in good agreement with measurements made at the South Pole and Dome C. The simulation results suggest that the Dome F and Dome A regions are potentially very good sites and are generally superior to Dome C.</t>
  </si>
  <si>
    <t>[Swain, M. R.] Max Planck Inst Astron, Konigstuhl 17, D-69117 Heidelberg, Germany; [Gallee, H.] Lab Glaciol &amp; Geophys Environm, F-38402 St Martin Dheres, France</t>
  </si>
  <si>
    <t>Max Planck Society</t>
  </si>
  <si>
    <t>Swain, MR (corresponding author), Max Planck Inst Astron, Konigstuhl 17, D-69117 Heidelberg, Germany.</t>
  </si>
  <si>
    <t>62671K</t>
  </si>
  <si>
    <t>10.1117/12.670657</t>
  </si>
  <si>
    <t>WOS:000240018600052</t>
  </si>
  <si>
    <t>Tosti, G; Busso, M; Nucciarelli, G; Bagaglia, M; Roncella, F; Mancini, A; Castellini, S; Mariotti, M; Babucci, E; Chiocci, G; Straniero, O; Dolci, M; Valentini, G; di Variano, I; Pelusi, D; Di Roca, G; Ragni, M; Abia, C; Domínguez, I; Corcione, L; Porcu, F; Conconi, P; De Caprio, V; Riva, A; Molinari, E; Zerbi, FM; Bortoletto, F; Bonoli, C; D'Alessandro, M; Colomé, J; Isern, J; Briguglio, R; Cacciani, A; Farnesini, L; Checcucci, B; Strassmeier, KG</t>
  </si>
  <si>
    <t>Tosti, Gino; Busso, Maurizio; Nucciarelli, Giuliano; Bagaglia, Marco; Roncella, Fabio; Mancini, Alberto; Castellini, Sonia; Mariotti, Mirco; Babucci, Ezio; Chiocci, Gianfranco; Straniero, Oscar; Dolci, Mauro; Valentini, Gaetano; di Varano, Igor; Pelusi, Danilo; Di Rico, Gianluca; Ragni, Maurizio; Abia, Carlos; Dominguez, Inma; Corcione, Leonardo; Porcu, Francesco; Conconi, Paolo; De Caprio, Vincenzo; Riva, Alverto; Molinari, Emilio; Zerbi, Filipo M.; Bortoletto, Favio; Bonoli, Carlotta; D'Alessandro, Maurizio; Colome, Josep; Isern, Jordi; Briguglio, Runa; Cacciani, Alessandro; Farnesini, Lucio; Checcucci, Bruno; Strassmeier, Klaus G.</t>
  </si>
  <si>
    <t>IRAIT Collaboration</t>
  </si>
  <si>
    <t>The International Robotic Antarctic Infrared Telescope (IRAIT)</t>
  </si>
  <si>
    <t>Robotic Antarctica; Dome C; telescope; infrared; automation; robotic</t>
  </si>
  <si>
    <t>Thanks to exceptional coldness, low sky brightness and low content of water vapour of the above atmosphere Dome C, one of the three highest peaks of the large Antarctic plateau, is likely to be the best site on Earth for thermal infrared observations (2.3-300 mu m) as well as for the far infrared range (30 mu m-1mm). IRAIT (International Robotic Antarctic Infrared Telescope) will be the first European Infrared telescope operating at Dome C. It will be delivered to Antarctica at the end of 2006, will reach Dome C at the end of 2007 and the first winter-over operation will start in spring 2008. IRAIT will offer a unique opportunity for astronomers to test and verify the astronomical quality of the site and it will be a useful test-instrument for a new generation of Antarctic telescopes and focal plane instrumentations. We give here a general overview of the project and of the logistics and transportation options adopted to facilitate the installation of IRAIT at Dome C. We summarize the results of the electrical, electronics and networking tests and of the sky polarization measurements carried out at Dome C during the 2005-2006 summer-campaign. We also present the 25 cm optical telescope (small-IRAIT project) that will installed at Dome C during the Antarctic summer 2006-2007 and that will start observations during the 2007 Antarctic winter when a member of the IRAIT collaboration will join the Italian-French Dome C winter-over team.</t>
  </si>
  <si>
    <t>[Tosti, Gino; Busso, Maurizio; Nucciarelli, Giuliano; Bagaglia, Marco; Roncella, Fabio; Mancini, Alberto; Castellini, Sonia; Mariotti, Mirco; Babucci, Ezio; Chiocci, Gianfranco] Univ Perugia, Dipartimento Fis, Via A Pascoli, I-06100 Perugia, Italy; [Straniero, Oscar; Dolci, Mauro; Valentini, Gaetano; di Varano, Igor; Pelusi, Danilo; Di Rico, Gianluca; Ragni, Maurizio] Osservatorio Teramo, INAF, I-64100 Teramo, Italy; [Abia, Carlos; Dominguez, Inma] Univ Granada, Dpto Fis Teor &amp; Cosmos, Granada, Spain; [Corcione, Leonardo; Porcu, Francesco] Osservatorio Torino, INAF, I-10025 Pino Torinese, Italy; [Conconi, Paolo; De Caprio, Vincenzo; Riva, Alverto; Molinari, Emilio; Zerbi, Filipo M.] Osserv Astron Brera, INAF, I-23807 Merate, LC, Italy; [Bortoletto, Favio; Bonoli, Carlotta; D'Alessandro, Maurizio] Osserv Astron Padova, INAF, Padua, Italy; [Colome, Josep; Isern, Jordi] F Ciencies, IEEC, Barcelona, Spain; [Briguglio, Runa; Cacciani, Alessandro] Univ Roma La Sapienza, Dipartimento Fis, I-00185 Rome, Italy; [Farnesini, Lucio; Checcucci, Bruno] INFN, Sez Perugia, I-06100 Perugia, Italy; [Farnesini, Lucio; Checcucci, Bruno] AIP, Potsdam, Germany</t>
  </si>
  <si>
    <t>University of Perugia; Istituto Nazionale Astrofisica (INAF); University of Granada; Istituto Nazionale Astrofisica (INAF); Istituto Nazionale Astrofisica (INAF); Istituto Nazionale Astrofisica (INAF); University of Padua; University of Barcelona; Institut d'Estudis Espacials de Catalunya (IEEC); Sapienza University Rome; Istituto Nazionale di Fisica Nucleare (INFN); Leibniz Institut fur Astrophysik Potsdam (AIP)</t>
  </si>
  <si>
    <t>Tosti, G (corresponding author), Univ Perugia, Dipartimento Fis, Via A Pascoli, I-06100 Perugia, Italy.</t>
  </si>
  <si>
    <t>gino.tosti@fisica.unipg.it</t>
  </si>
  <si>
    <t>Dominguez, Inma/P-2324-2017; Tosti, Gino/E-9976-2013; Molinari, Emilio/GYR-1322-2022; Mariotti, Mirko/K-9789-2014; Busso, Maurizio Maria/K-7075-2015; Isern, Jordi/B-1844-2015; Abia Ladron De Guevara, Carlos Antonio/O-9585-2017</t>
  </si>
  <si>
    <t>Tosti, Gino/0000-0002-0839-4126; Molinari, Emilio/0000-0002-1742-7735; Di Rico, Gianluca/0000-0002-5213-8269; Straniero, Oscar/0000-0002-5514-6125; d'alessandro, maurizio/0000-0002-8318-0988; Mariotti, Mirko/0000-0001-8848-2523; De Caprio, Vincenzo/0000-0002-4587-8963; Busso, Maurizio Maria/0000-0001-8944-5820; corcione, leonardo/0000-0002-6497-5881; Dolci, Mauro/0000-0001-8000-5642; Briguglio, Runa/0000-0002-0495-0543; Zerbi, Filippo Maria/0000-0002-9996-973X; Isern, Jordi/0000-0002-0819-9574; Riva, Alberto/0000-0002-6928-8589; Dominguez Aguilera, Inmaculada/0000-0002-3827-4731; Abia Ladron De Guevara, Carlos Antonio/0000-0002-5665-2716</t>
  </si>
  <si>
    <t>Italian Programma Nazionale di Ricerche in Antartide (PNRA); Italian National Institute of Astrophysics (INAF); University of Perugia; Spanish Ministry of Education</t>
  </si>
  <si>
    <t>Italian Programma Nazionale di Ricerche in Antartide (PNRA); Italian National Institute of Astrophysics (INAF); University of Perugia; Spanish Ministry of Education(Spanish Government)</t>
  </si>
  <si>
    <t>This research was partially funded by the Italian Programma Nazionale di Ricerche in Antartide (PNRA), the Italian National Institute of Astrophysics (INAF), University of Perugia, Spanish Ministry of Education. We would express our gratitude to Professor Paolo Maffei, which started the IRAIT project at University of Perugia in the 1994 when only a few people were thinking about the Antarctica Plateau as an opportunity for the new millennium Astronomy.</t>
  </si>
  <si>
    <t>62671H</t>
  </si>
  <si>
    <t>10.1117/12.670302</t>
  </si>
  <si>
    <t>WOS:000240018600049</t>
  </si>
  <si>
    <t>Valentini, G; Magrin, D; Riva, A; Bonoli, C; Di Rico, G; Dolci, M</t>
  </si>
  <si>
    <t>Valentini, Gaetano; Magrin, Demetrio; Riva, Alberto; Bonoli, Carlotta; Di Rico, Gianluca; Dolci, Mauro</t>
  </si>
  <si>
    <t>New filters for NIR-MIR astronomy from Dome C: the case of AMICA</t>
  </si>
  <si>
    <t>AMICA; near-infrared; mid-infrared; filter; photometric system; Dome C</t>
  </si>
  <si>
    <t>Dome C, located on the Antarctic Plateau, is expected to be one of the best sites for ground-based astronomical observations at infrared wavelengths. Its high elevation, equivalent to 3800 m of a temperate site, and the very low temperatures (down to -90 degrees C), reduce dramatically the background thermal emission from both the instrument and the sky; the very dry and cold environment makes the atmospheric windows more transparent, wide and stable than in any ground-based temperate site. The Antarctic Multiband Infrared Camera (AMICA), mounted at the focal plane of the IRAIT telescope, is designed to perform astronomical observations at near- and mid-infrared wavelengths from Dome C. In order to fully exploit the above-mentioned excellent site conditions, a set of optimized infrared filters covering the 2 25 microns region has been defined as a result of a careful analysis. In the first step, the bands of interest were identified on the basis of the scientific requirements and the opportunities offered by the site. The fundamental scientific parameters, as the central wavelength, the bandwidth, the isophotal magnitude were then computed-for each filter, in such a way to optimize the camera performances.</t>
  </si>
  <si>
    <t>[Valentini, Gaetano; Di Rico, Gianluca; Dolci, Mauro] INAF, Osservatorio Astron Collurania Teramo, Teramo, Italy; [Magrin, Demetrio; Bonoli, Carlotta] INAF, Osservatorio Astron Padov Vicolo Osservatorio, Padua, Italy; [Riva, Alberto] INAF, Osservatorio Astron Brera, Merate, Italy</t>
  </si>
  <si>
    <t>Istituto Nazionale Astrofisica (INAF); Istituto Nazionale Astrofisica (INAF); Istituto Nazionale Astrofisica (INAF)</t>
  </si>
  <si>
    <t>Valentini, G (corresponding author), INAF, Osservatorio Astron Collurania Teramo, Teramo, Italy.</t>
  </si>
  <si>
    <t>valentini@oa-teramo.inaf.it</t>
  </si>
  <si>
    <t>Riva, Alberto/0000-0002-6928-8589; Magrin, Demetrio/0000-0003-0312-313X; Dolci, Mauro/0000-0001-8000-5642; Di Rico, Gianluca/0000-0002-5213-8269</t>
  </si>
  <si>
    <t>10.1117/12.671325</t>
  </si>
  <si>
    <t>WOS:000240018600042</t>
  </si>
  <si>
    <t>York, DG; Wane, LF; Pennypacker, C; Cui, XQ; Cappellaroe, E; Blouke, MA; Lamb, D; Storey, J; Malina, R; Ashley, MCB; Basa, S; Zhou, X; Hu, JY; Yuan, XY; Harper, D; Sandford, D; Lawrence, J; Thorburn, J</t>
  </si>
  <si>
    <t>York, Donald G.; Wane, Lifan; Pennypacker, Carl; Cui, Xiangqun; Cappellaroe, Enrico; Blouke, Morley A.; Lamb, Don; Storey, John; Malina, Roger; Ashley, Michael C. B.; Basa, Stephane; Zhou, Xu; Hu, Jingyao; Yuan, Xiangyan; Harper, Doyal; Sandford, Dale; Lawrence, Jon; Thorburn, Julie</t>
  </si>
  <si>
    <t>A large array of telescopes in Antarctica with all-sky imaging every 5 seconds</t>
  </si>
  <si>
    <t>time domain astronomy; supernovae; gamma-ray bursts; Antarctica; telescopes; astronomical transients</t>
  </si>
  <si>
    <t>GAMMA-RAY BURST; DOME-C; CATACLYSMIC VARIABLES; ASTRONOMY SATELLITE; OPTICAL TRANSIENTS; GRB AFTERGLOWS; PLANET; REDSHIFT; SEARCH; SPECTROSCOPY</t>
  </si>
  <si>
    <t>We describe a large-angle survey for fast, optical transients: gamma ray bursts (GRBS), supernovae (SNe), lensed and transiting planets, AGNs and serendipitously found objects. The principal science goals are to obtain light curves for all transients and to obtain redshifts of GRBs and orphan afterglows. The array is called Man. In conjunction with the gamma-ray satellites, ECLAIRs/SVOM and GLAST, the data will be used to study sources from z=0.1 to &gt; 6. The telescope array has 400 Schmidt telescopes, each with similar to 20 sq. degree focal planes and apertures of similar to 0.5 meters. The passively cooled, multiple CCD arrays have a total of 16000x16000 pixels, up to 13 readout channels per 1K x 4K CCD and work in TDI mode. The system provides continuous coverage of the circumpolar sky, from the Antarctic plateau, every few seconds. Images averaged over longer time intervals allow searches for the host galaxies of the detected transients, as well as for fainter, longer timescale transients. Complete, data at high time resolution are only stored for selected objects. The telescopes are fixed and use a single filter: there are few (or no) moving parts. Expected detection rates are 0.3 GRBs afterglows per day, &gt; 100 orphan afterglows per day and &gt; 0.1 blue flashes per day from Type H or Type Ib/c supernovae. On-site computers compare successive images and trigger follow-up observations of selected objects with a co-sited, well-instrumented telescope (optical, IR; spectroscopy, photometry, polarimetry), for rapid follow-up of transients. Precursor arrays with 20-100 square degrees are planned for the purpose of developing trigger software, testing observing strategies and deriving good cost estimates for a full set of telescope units.</t>
  </si>
  <si>
    <t>[York, Donald G.; Lamb, Don; Harper, Doyal] Univ Chicago, 5640 South Ellis Ave,AAC002, Chicago, IL 60637 USA; [Wane, Lifan] Lawrence Berkeley Lab, Div Phys, Berkeley, CA 94720 USA; [Pennypacker, Carl] Space Sci Lab, Berkeley, CA 94720 USA; [Cui, Xiangqun; Yuan, Xiangyan] Nanjing Inst Astron Opt &amp; Technol NAOC, Nanjing 210042, Jiangsu, Peoples R China; [Cappellaroe, Enrico] Osserv Astron Padova, INAF, I-35122 Padua, Italy; [Blouke, Morley A.] Ball Aerosp &amp; Technol Corp, Boulder, CO 80306 USA; [Storey, John; Ashley, Michael C. B.; Lawrence, Jon] Univ New South Wales, Sch Phys, Sydney, NSW 2052, Australia; [Malina, Roger; Basa, Stephane] Traverse Siphon, Lab Astrophys Marseille, F-13376 Marseille 12, France; [Malina, Roger; Basa, Stephane] Lucs, F-13376 Marseille 12, France; [Zhou, Xu; Hu, Jingyao] Chinese Acad Sci, Natl Astron Observ, Beijing 100012, Peoples R China; [Sandford, Dale; Thorburn, Julie] Univ Chicago, Yerkes Observ, Williams Bay, WI 53191 USA</t>
  </si>
  <si>
    <t>University of Chicago; United States Department of Energy (DOE); Lawrence Berkeley National Laboratory; University of Padua; Istituto Nazionale Astrofisica (INAF); Ball Aerospace &amp; Technologies; University of New South Wales Sydney; Aix-Marseille Universite; Chinese Academy of Sciences; National Astronomical Observatory, CAS; University of Chicago</t>
  </si>
  <si>
    <t>York, DG (corresponding author), Univ Chicago, 5640 South Ellis Ave,AAC002, Chicago, IL 60637 USA.</t>
  </si>
  <si>
    <t>don@oddjob.uchicago.edu</t>
  </si>
  <si>
    <t>Cappellaro, Enrico/0000-0001-5008-8619; malina, roger/0000-0003-3399-3865; Ashley, Michael/0000-0003-1412-2028; Lawrence, Jon/0000-0002-6998-6993</t>
  </si>
  <si>
    <t>62671F</t>
  </si>
  <si>
    <t>10.1117/12.672332</t>
  </si>
  <si>
    <t>WOS:000240018600048</t>
  </si>
  <si>
    <t>Kojima, H</t>
  </si>
  <si>
    <t>Mccall, GJH; Bowden, AJ; Howarth, RJ</t>
  </si>
  <si>
    <t>Kojima, Hideyasu</t>
  </si>
  <si>
    <t>The history of Japanese Antarctic meteorites</t>
  </si>
  <si>
    <t>HISTORY OF METEORITICS AND KEY METEORITE COLLECTIONS: FIREBALLS, FALLS AND FINDS</t>
  </si>
  <si>
    <t>Geological Society Special Publication</t>
  </si>
  <si>
    <t>A Japanese field party ( Japanese Antarctic Research Expedition 10 (JARE-10)), traversing in the Yamato Mountains of Antarctica in December 1969, recovered nine meteorite masses from ice-field surfaces. These meteorite masses were of diverse types, a fact that set in motion systematic searches for further meteorites. This was initiated by the JARE-15 field party in the austral summer of 1974, which recovered 663 meteorite masses from the ice fields. So many finds led to a hypothesis explaining the unusual concentration of meteorites on the Antarctic ice fields, and later parties searched systematically, according to this hypothesis. The JARE-20, JARE-29, JARE-39 and JARE-41 field parties collected 3692, 1949, 4148 and 3581 meteorite masses in repeated searches, respectively. A total of 15 741 masses is now held by the National Institute for Polar Research, and includes many rare classificatory types, lunar-sourced meteorites and meteorites widely accepted as of martian origin. The original find of nine meteorites triggered the extensive search programmes for meteorites by Japanese and American scientists both in the Yamato Mountain region and the Trans Antarctic Range region of Antarctica.</t>
  </si>
  <si>
    <t>Natl Inst Polar Res, Itabashi Ku, Tokyo 1738515, Japan</t>
  </si>
  <si>
    <t>Research Organization of Information &amp; Systems (ROIS); National Institute of Polar Research (NIPR) - Japan</t>
  </si>
  <si>
    <t>Kojima, H (corresponding author), Natl Inst Polar Res, Itabashi Ku, 9-10 Kaga,1Chome, Tokyo 1738515, Japan.</t>
  </si>
  <si>
    <t>kojima@nipr.ac.jp</t>
  </si>
  <si>
    <t>GEOLOGICAL SOC PUBLISHING HOUSE</t>
  </si>
  <si>
    <t>BATH</t>
  </si>
  <si>
    <t>UNIT 7, BRASSMILL ENTERPRISE CTR, BRASSMILL LANE, BATH BA1 3JN, AVON, ENGLAND</t>
  </si>
  <si>
    <t>0305-8719</t>
  </si>
  <si>
    <t>978-1-86239-194-9</t>
  </si>
  <si>
    <t>GEOL SOC SPEC PUBL</t>
  </si>
  <si>
    <t>Geol. Soc. Spec. Publ.</t>
  </si>
  <si>
    <t>10.1144/GSL.SP.2006.256.01.14</t>
  </si>
  <si>
    <t>BKV91</t>
  </si>
  <si>
    <t>WOS:000269439800015</t>
  </si>
  <si>
    <t>Bevan, AWR</t>
  </si>
  <si>
    <t>Bevan, A. W. R.</t>
  </si>
  <si>
    <t>Desert meteorites: a history</t>
  </si>
  <si>
    <t>R-CHONDRITE GROUP; ROOSEVELT-COUNTY; NEW-MEXICO; COMPOSITIONAL CLASSIFICATION; CARBONACEOUS CHONDRITES; WESTERN-AUSTRALIA; NULLARBOR REGION; LUNAR METEORITE; EARTHS SURFACE; ANTARCTIC METEORITES</t>
  </si>
  <si>
    <t>During the last 35 years, the number of meteorites available for study has increased by an order of magnitude (from around 2000 to nearly 30 000). The largest contribution has come from meteorites recovered from the Antarctic ice (more than 20 000); however, since the late 1980s a significant number (more than 8000-9000) have come from so called 'hot' deserts. The most notable arid areas of the world for meteorite recoveries are the wider Sahara (Algeria, Libya, Niger and other unspecified localities in NW Africa), Roosevelt County in New Mexico, USA, the Nullarbor Region of Australia, and, more recently, the deserts of the Arabian Peninsula in Saudi Arabia and Oman. Other areas in which meteorites have been found in numbers include the Namibian Desert in SW Africa and the Atacama Desert in Chile. This wealth of material has greatly extended our knowledge of early solar system materials by providing occasional samples of meteorites hitherto unknown to science, and allowing the construction of new groups of related meteorites. In addition, these accumulated collections have also allowed estimates to be made of the flux of meteorites to Earth with time, studies of their mass/type distribution on Earth and palaeoclimatic studies of the areas from which meteorites have been recovered. This paper documents the history of meteorite recovery from the 'hot' deserts of the world, and notes the effects that this abundance of material has had on the science of meteoritics.</t>
  </si>
  <si>
    <t>Western Australian Museum, Dept Earth &amp; Planetary Sci, Perth, WA 6000, Australia</t>
  </si>
  <si>
    <t>Western Australian Museum</t>
  </si>
  <si>
    <t>Bevan, AWR (corresponding author), Western Australian Museum, Dept Earth &amp; Planetary Sci, Francis St, Perth, WA 6000, Australia.</t>
  </si>
  <si>
    <t>bevana@museum.wa.gov.au</t>
  </si>
  <si>
    <t>10.1144/GSL.SP.2006.256.01.16</t>
  </si>
  <si>
    <t>WOS:000269439800017</t>
  </si>
  <si>
    <t>Gaston, AJ; Hipfner, JM</t>
  </si>
  <si>
    <t>Adult Brunnich's Guillemots Uria lomvia balance body condition and investment in chick growth</t>
  </si>
  <si>
    <t>IBIS</t>
  </si>
  <si>
    <t>THICK-BILLED MURRE; LONG-LIVED SEABIRD; KITTIWAKES RISSA-TRIDACTYLA; PUFFIN FRATERCULA-ARCTICA; BLACK-LEGGED KITTIWAKES; GULL LARUS-CALIFORNICUS; REPRODUCTIVE EFFORT; ANTARCTIC PETREL; ICE CONDITIONS; AGE</t>
  </si>
  <si>
    <t>To investigate the covariation of adult body condition and nestling growth, we weighed adult Brunnich's Guillemots Uria lomvia rearing chicks at Coats Island, Nunavut, Canada, each year between 1988 and 2002. We estimated chick mass at 14 days for a sample of chicks reared in the same years. Adult mass and chick mass at 14 days were highly correlated, suggesting that, as feeding conditions deteriorate, adults compromise by reducing their own body reserves, while at the same time delivering less food to their offspring. We compared the prediction of the least-squares regression for the Coats Island data with observations made at Digges Island, a much larger colony about 300 km away, where birds are similar in linear body measurements to those at Coats Island and have a similar body mass while incubating. Adult mass at Digges Island averaged 11% less during chick-rearing than during incubation, compared with only a 5% difference at Coats Island. Mean chick mass at 14 days at Digges Island was lower in all years than was observed for chicks at Coats Island in any year. The observed 14-day chick masses at Digges Island in two years were close to values predicted by adult mass and somewhat lower in two other years (those when chick growth was slowest). At Digges Island, the distribution of mass for brooding adults was right skewed and suggested a lower threshold at 800-850 g, below which Brunnich's Guillemots terminate breeding. We conclude that the correlation between adult and chick mass represents a dynamic equilibrium in which adults simultaneously adjust their own energy reserves and their delivery rate to the chick. This compromise must be based on behavioural choices made by individual birds and is unlikely to be a passive consequence of fluctuating conditions.</t>
  </si>
  <si>
    <t>Carleton Univ, Natl Wildlife Res Ctr, Canadian Wildlife Serv, Ottawa, ON K1A 0H3, Canada; Pacific Wildlife Res Ctr, Canadian Wildlife Serv, Delta, BC V4K 3Y3, Canada</t>
  </si>
  <si>
    <t>Environment &amp; Climate Change Canada; Canadian Wildlife Service; National Wildlife Research Centre - Canada; Carleton University; Environment &amp; Climate Change Canada; Canadian Wildlife Service; Pacific Wildlife Research Centre</t>
  </si>
  <si>
    <t>Gaston, AJ (corresponding author), Carleton Univ, Natl Wildlife Res Ctr, Canadian Wildlife Serv, 1125 Colonel By Dr,Raven Rd, Ottawa, ON K1A 0H3, Canada.</t>
  </si>
  <si>
    <t>tony.gaston@ec.gc.ca</t>
  </si>
  <si>
    <t>BLACKWELL PUBLISHING</t>
  </si>
  <si>
    <t>9600 GARSINGTON RD, OXFORD OX4 2DQ, OXON, ENGLAND</t>
  </si>
  <si>
    <t>0019-1019</t>
  </si>
  <si>
    <t>Ibis</t>
  </si>
  <si>
    <t>10.1111/j.1474-919X.2006.00489.x</t>
  </si>
  <si>
    <t>004GJ</t>
  </si>
  <si>
    <t>WOS:000234739700011</t>
  </si>
  <si>
    <t>Amakasu, K; Furusawa, M</t>
  </si>
  <si>
    <t>The target strength of Antarctic krill (Euphausia superba) measured by the split-beam method in a small tank at 70 kHz</t>
  </si>
  <si>
    <t>ICES JOURNAL OF MARINE SCIENCE</t>
  </si>
  <si>
    <t>Antarctic krill; small tank; split-beam method; target strength</t>
  </si>
  <si>
    <t>ACOUSTIC SCATTERING; SOUND-SCATTERING; ZOOPLANKTON; ORIENTATION; CYLINDERS; MODELS; LENGTH</t>
  </si>
  <si>
    <t>The target strengths (TS) of Antarctic krill (Euphausia superba) were measured at 70 kHz aboard the research and training vessel Umitaka-maru of Tokyo University of Marine Science and Technology in February 2003 during a Southern Ocean survey. The systematic variations of TS vs. the incident angle of the ensonified wave, henceforth called TS-pattems, were successfully measured for 12 live Antarctic krill. These measurements were compared with the theoretical TS-pattems predicted by the Distorted-Wave Born Approximation-based deformed-cylinder model (DWBA model). While there was good agreement near the main lobe, the measurements were higher than the model predictions in the sidelobe regions; this is consistent with the observations of others. Several possible causes of this discrepancy such as the bending of abdomen and scattering from pleopods were examined, but no single factor was identified as the cause. Rather, it is likely that the discrepancy is a result of a combination of several factors. (c) 2005 International Council for the Exploration of the Sea. Published by Elsevier Ltd. All rights reserved.</t>
  </si>
  <si>
    <t>Tokyo Univ Marine Sci &amp; Technol, Tokyo 1088477, Japan</t>
  </si>
  <si>
    <t>Tokyo University of Marine Science &amp; Technology</t>
  </si>
  <si>
    <t>Tokyo Univ Marine Sci &amp; Technol, 4-5-7 Konan, Tokyo 1088477, Japan.</t>
  </si>
  <si>
    <t>soundproc@yahoo.co.jp</t>
  </si>
  <si>
    <t>AMAKASU, Kazuo/O-1857-2014</t>
  </si>
  <si>
    <t>OXFORD UNIV PRESS</t>
  </si>
  <si>
    <t>GREAT CLARENDON ST, OXFORD OX2 6DP, ENGLAND</t>
  </si>
  <si>
    <t>1054-3139</t>
  </si>
  <si>
    <t>1095-9289</t>
  </si>
  <si>
    <t>ICES J MAR SCI</t>
  </si>
  <si>
    <t>ICES J. Mar. Sci.</t>
  </si>
  <si>
    <t>10.1016/j.icesjms.2005.07.012</t>
  </si>
  <si>
    <t>Fisheries; Marine &amp; Freshwater Biology; Oceanography</t>
  </si>
  <si>
    <t>009EV</t>
  </si>
  <si>
    <t>Bronze</t>
  </si>
  <si>
    <t>WOS:000235095100005</t>
  </si>
  <si>
    <t>Allen, JR; Long, DG</t>
  </si>
  <si>
    <t>Microwave observations of daily Antarctic sea-ice edge expansion and contraction rates</t>
  </si>
  <si>
    <t>IEEE GEOSCIENCE AND REMOTE SENSING LETTERS</t>
  </si>
  <si>
    <t>SeaWinds; QuikSCAT; special sensor microwave/imager (SSMI); sea ice</t>
  </si>
  <si>
    <t>VARIABILITY; MODEL</t>
  </si>
  <si>
    <t>Algorithms for estimating sea-ice extent from remotely sensed microwave sensor data can benefit from knowledge of the a priori distribution of the daily expansion and contraction of the sea-ice pack. To estimate the probability distribution of daily Antarctic sea-ice extent change, two independent sea-ice datasets are analyzed: sea-ice extent derived from the QuikSCAT scatterometer and ice concentration estimates from the Special Sensor Microwave/Imager. The daily sea-ice advance and retreat is tracked over a four-year period. The distribution of the daily sea-ice advance/retreat from each sensor is similar and is approximately double-exponential. Daily ice-pack statistics are presented.</t>
  </si>
  <si>
    <t>Brigham Young Univ, Microwave Earth Remote Sensing Lab, Provo, UT 84602 USA</t>
  </si>
  <si>
    <t>Brigham Young University</t>
  </si>
  <si>
    <t>Allen, JR (corresponding author), Brigham Young Univ, Microwave Earth Remote Sensing Lab, Provo, UT 84602 USA.</t>
  </si>
  <si>
    <t>long@ee.byu.edu</t>
  </si>
  <si>
    <t>Long, David G./K-4908-2015</t>
  </si>
  <si>
    <t>Long, David G./0000-0002-1852-3972</t>
  </si>
  <si>
    <t>IEEE-INST ELECTRICAL ELECTRONICS ENGINEERS INC</t>
  </si>
  <si>
    <t>PISCATAWAY</t>
  </si>
  <si>
    <t>445 HOES LANE, PISCATAWAY, NJ 08855-4141 USA</t>
  </si>
  <si>
    <t>1545-598X</t>
  </si>
  <si>
    <t>1558-0571</t>
  </si>
  <si>
    <t>IEEE GEOSCI REMOTE S</t>
  </si>
  <si>
    <t>IEEE Geosci. Remote Sens. Lett.</t>
  </si>
  <si>
    <t>10.1109/LGRS.2005.856710</t>
  </si>
  <si>
    <t>Geochemistry &amp; Geophysics; Engineering, Electrical &amp; Electronic; Remote Sensing; Imaging Science &amp; Photographic Technology</t>
  </si>
  <si>
    <t>Geochemistry &amp; Geophysics; Engineering; Remote Sensing; Imaging Science &amp; Photographic Technology</t>
  </si>
  <si>
    <t>006LJ</t>
  </si>
  <si>
    <t>Green Submitted, Green Published</t>
  </si>
  <si>
    <t>WOS:000234898700012</t>
  </si>
  <si>
    <t>Shaffer, SA; Costa, DP</t>
  </si>
  <si>
    <t>Shaffer, Scott A.; Costa, Daniel P.</t>
  </si>
  <si>
    <t>A database for the study of marine mammal behavior: Gap analysis, data standardization, and future directions</t>
  </si>
  <si>
    <t>IEEE JOURNAL OF OCEANIC ENGINEERING</t>
  </si>
  <si>
    <t>database development; diving; live access server; marine mammals; tracking</t>
  </si>
  <si>
    <t>WHALES; SONAR</t>
  </si>
  <si>
    <t>A relational database that contained published information on the diving behavior and/or movement patterns of marine mammals was compiled to facilitate a modeling effort of the Effects of Sound on the Marine Environment (ESME) program. A total of 448 references from reports, books, and peer-reviewed journal articles were obtained. The metadata describing each animal studied, location of the study, and equipment used were entered into the database as well as empirical datA describing the diving behavior and movement patterns of each animal. In total, the database contained 1815 entries from 51 different marine mammal species or subspecies. The majority of animals were seals and sea lions with 1560 entries from 29 individual species. More than half the number of animals studied were from high latitude regions (e.g., Arctic and Antarctic). Other problem areas identified were: 1) Data reduction in summaries, 2) inability to easily summarize qualitative and quantitative data, and 3) lack of standardization in data reporting. A solution is to create a common access data archive where researchers contribute raw published or unpublished geospatially referenced data sets. This would improve access to original data sets with large volumes of data, which, overall, enhances the power to develop robust behavioral or ecological models that could help define critical habitats of marine mammals.</t>
  </si>
  <si>
    <t>Univ Calif Santa Cruz, Dept Ecol &amp; Evolutionary Biol, Santa Cruz, CA 95060 USA</t>
  </si>
  <si>
    <t>University of California System; University of California Santa Cruz</t>
  </si>
  <si>
    <t>Shaffer, SA (corresponding author), Univ Calif Santa Cruz, Dept Ecol &amp; Evolutionary Biol, Santa Cruz, CA 95060 USA.</t>
  </si>
  <si>
    <t>shaffer@biology.ucsc.edu; costa@biology.ucsc.edu</t>
  </si>
  <si>
    <t>Carlos, Universidade Federal de São/W-8832-2019; Shaffer, Scott/D-5015-2009; Costa, Daniel Paul/E-2616-2013</t>
  </si>
  <si>
    <t>Carlos, Universidade Federal de São/0000-0002-0334-3899; Shaffer, Scott/0000-0002-7751-5059; Costa, Daniel Paul/0000-0002-0233-5782</t>
  </si>
  <si>
    <t>0364-9059</t>
  </si>
  <si>
    <t>1558-1691</t>
  </si>
  <si>
    <t>IEEE J OCEANIC ENG</t>
  </si>
  <si>
    <t>IEEE J. Ocean. Eng.</t>
  </si>
  <si>
    <t>10.1109/JOE.2006.872210</t>
  </si>
  <si>
    <t>Engineering, Civil; Engineering, Ocean; Engineering, Electrical &amp; Electronic; Oceanography</t>
  </si>
  <si>
    <t>Engineering; Oceanography</t>
  </si>
  <si>
    <t>059CH</t>
  </si>
  <si>
    <t>WOS:000238710400009</t>
  </si>
  <si>
    <t>van der Sluijs, J; Turkenburg, W</t>
  </si>
  <si>
    <t>Fisher, E; Jones, J; Von Schomberg, R</t>
  </si>
  <si>
    <t>van der Sluijs, Jeroen; Turkenburg, Wim</t>
  </si>
  <si>
    <t>Climate change and the precautionary principle</t>
  </si>
  <si>
    <t>IMPLEMENTING THE PRECAUTIONARY PRINCIPLE: PERSPECTIVES AND PROSPECTS</t>
  </si>
  <si>
    <t>THERMOHALINE CIRCULATION; ANTARCTIC ICE; UNCERTAINTY; FUTURE</t>
  </si>
  <si>
    <t>[van der Sluijs, Jeroen] Univ Utrecht, Sci Technol &amp; Soc Div, Copernicus Inst Sustainable Dev &amp; Innovat, NL-3508 TC Utrecht, Netherlands; [van der Sluijs, Jeroen] Univ Versailles St Quentin En Yvelines, Ctr Econ &amp; Eth Environm &amp; Dev, Versailles, France; [van der Sluijs, Jeroen] UNESCO COMEST Expert Grp Precautionary Principle, Paris, France; [Turkenburg, Wim] Utrecht Ctr Energy Res UCE, Utrecht, Netherlands</t>
  </si>
  <si>
    <t>Utrecht University; Universite Paris Saclay</t>
  </si>
  <si>
    <t>van der Sluijs, J (corresponding author), Univ Utrecht, Sci Technol &amp; Soc Div, Copernicus Inst Sustainable Dev &amp; Innovat, NL-3508 TC Utrecht, Netherlands.</t>
  </si>
  <si>
    <t>van der Sluijs, Jeroen P/B-6302-2008</t>
  </si>
  <si>
    <t>van der Sluijs, Jeroen P/0000-0002-1346-5953</t>
  </si>
  <si>
    <t>978-1-84542-702-3</t>
  </si>
  <si>
    <t>Environmental Studies</t>
  </si>
  <si>
    <t>BRY02</t>
  </si>
  <si>
    <t>WOS:000283860800013</t>
  </si>
  <si>
    <t>Mizobuchi, A; Ohi, N; Ishiwata, Y; Taguchi, S</t>
  </si>
  <si>
    <t>Jones, J</t>
  </si>
  <si>
    <t>Mizobuchi, Akemi; Ohi, Nobuaki; Ishiwata, Yuki; Taguchi, Satoru</t>
  </si>
  <si>
    <t>Diurnal variation in the chlorophyll α specific absorption coefficient of Isochrysis galbana in response to ultraviolet radiation</t>
  </si>
  <si>
    <t>INTERNATIONAL ASSOCIATION OF THEORETICAL AND APPLIED LIMNOLOGY, VOL 29, PT 3, PROCEEDINGS</t>
  </si>
  <si>
    <t>International Association of Theoretical and Applied Limnology Proceedings</t>
  </si>
  <si>
    <t>29th Congress of the International-Association-of-Theoretical-and-Applied-Limnology</t>
  </si>
  <si>
    <t>AUG 08-14, 2004</t>
  </si>
  <si>
    <t>Lahti, FINLAND</t>
  </si>
  <si>
    <t>Chl a specific absorption coefficient; diurnal variation; UV radiation</t>
  </si>
  <si>
    <t>UV-B; ANTARCTIC CYANOBACTERIA; IRRADIANCE; STRATEGIES</t>
  </si>
  <si>
    <t>[Mizobuchi, Akemi; Ohi, Nobuaki; Ishiwata, Yuki; Taguchi, Satoru] Soka Univ, Fac Engn, Dept Environm Engn Symbiosis, 1-236 Tangi Cho, Hachioji, Tokyo 1928577, Japan</t>
  </si>
  <si>
    <t>Soka University</t>
  </si>
  <si>
    <t>Mizobuchi, A (corresponding author), Soka Univ, Fac Engn, Dept Environm Engn Symbiosis, 1-236 Tangi Cho, Hachioji, Tokyo 1928577, Japan.</t>
  </si>
  <si>
    <t>staguchi@t.soka.ac.jp</t>
  </si>
  <si>
    <t>E SCHWEIZERBART'SCHE VERLAGSBUCHHANDLUNG</t>
  </si>
  <si>
    <t>STUTTGART</t>
  </si>
  <si>
    <t>JOHANNESTRASSE 3, W-7000 STUTTGART, GERMANY</t>
  </si>
  <si>
    <t>0368-0770</t>
  </si>
  <si>
    <t>3-510-54067-0</t>
  </si>
  <si>
    <t>INT VER THEOR ANGEW</t>
  </si>
  <si>
    <t>Int. Assoc. Theor. Appl. Limnol. Proc.</t>
  </si>
  <si>
    <t>Limnology</t>
  </si>
  <si>
    <t>BER16</t>
  </si>
  <si>
    <t>WOS:000239005000080</t>
  </si>
  <si>
    <t>Fantoni, R; Fiorani, L; Okladnikov, IG; Palucci, A</t>
  </si>
  <si>
    <t>Frenz, M; Larichev, AV; Matvienko, GG; Panchenko, VY; Singh, UN</t>
  </si>
  <si>
    <t>Fantoni, R.; Fiorani, L.; Okladnikov, I. G.; Palucci, A.</t>
  </si>
  <si>
    <t>Lidar fluorosensor and satellite integrated approach: seven years of Southern Ocean investigation</t>
  </si>
  <si>
    <t>INTERNATIONAL CONFERENCE ON LASERS, APPLICATIONS, AND TECHNOLOGIES 2005: LASER TECHNOLOGIES FOR ENVIRONMENTAL MONITORING AND ECOLOGICAL APPLICATIONS AND LASER TECHNOLOGIES FOR MEDICINE</t>
  </si>
  <si>
    <t>International Conference on Lasers, Applications and Technologies</t>
  </si>
  <si>
    <t>MAY 11-15, 2005</t>
  </si>
  <si>
    <t>St Petersburg, RUSSIA</t>
  </si>
  <si>
    <t>lidar fluorosensor; SeaWiFS; Southern Ocean; Ross Sea; chlorophyll; CDOM</t>
  </si>
  <si>
    <t>ROSS SEA; MODELS; SEAWIFS; WATERS</t>
  </si>
  <si>
    <t>Southern Ocean plays an important role in the global carbon cycle and strongly influences global changes with the Ross Sea as one of the more productive regions due to strong phytoplankton blooms occurring in spring and summer. ENEA Lidar fluorosensor measured bio-optical properties of Antarctic waters since 1997 up to 2003 simultaneously to SeaWiFS observations. Chlorophyll-a data from lidar and radiometer are integrated to provide primary productivity model of the Ross Sea. Preliminary results on a new satellite algorithm for CDOM concentration retrieval is suggested after calibration with the measurements carried out by the ENEA lidar fluorosensor.</t>
  </si>
  <si>
    <t>[Fantoni, R.; Fiorani, L.; Palucci, A.] CR Frascati, ENEA, FIS LAS, Via Fermi 45, I-00044 Rome, Italy; [Okladnikov, I. G.] SCERT, Inst Monitoring Climatoecol Syst, Tomsk, Russia</t>
  </si>
  <si>
    <t>Italian National Agency New Technical Energy &amp; Sustainable Economics Development; Institute of Monitoring of Climatic &amp; Ecological Systems of the Siberian Branch of the RAS</t>
  </si>
  <si>
    <t>Fantoni, R (corresponding author), CR Frascati, ENEA, FIS LAS, Via Fermi 45, I-00044 Rome, Italy.</t>
  </si>
  <si>
    <t>Fiorani, Luca/AAT-8943-2021; Okladnikov, Igor/J-8496-2013</t>
  </si>
  <si>
    <t>Okladnikov, Igor/0000-0003-0356-4410; Fiorani, Luca/0000-0001-9696-3124; PALUCCI, ANTONIO/0009-0006-9442-1544</t>
  </si>
  <si>
    <t>PNRA -Technology Sector [5b1, 11-5]; PRNA - Oceanographic Sector [8.3]; NASA's Mission</t>
  </si>
  <si>
    <t>PNRA -Technology Sector; PRNA - Oceanographic Sector; NASA's Mission</t>
  </si>
  <si>
    <t>This work has been supported by the PNRA -Technology Sector, 5b1 and 11-5 Projects and PRNA - Oceanographic Sector, 8.3 Project.; The authors would like to thank the SeaWiFS Project (Code 970.2) and the Distributed Active Archive Center (Code 902) at the Goddard Space Flight Center, Greenbelt, MD 20771, for the production and distribution of these data, respectively. These activities are sponsored by NASA's Mission to Planet Earth Program</t>
  </si>
  <si>
    <t>0-8194-6362-0</t>
  </si>
  <si>
    <t>10.1117/12.714151</t>
  </si>
  <si>
    <t>Engineering, Biomedical; Instruments &amp; Instrumentation; Optics; Physics, Applied</t>
  </si>
  <si>
    <t>Engineering; Instruments &amp; Instrumentation; Optics; Physics</t>
  </si>
  <si>
    <t>BFI06</t>
  </si>
  <si>
    <t>WOS:000241947000002</t>
  </si>
  <si>
    <t>Turner, J; Connolley, WM; Lachlan-Cope, TA; Marshall, GJ</t>
  </si>
  <si>
    <t>The performance of the Hadley Centre climate model (HADCM3) in high southern latitudes</t>
  </si>
  <si>
    <t>INTERNATIONAL JOURNAL OF CLIMATOLOGY</t>
  </si>
  <si>
    <t>Antarctica; temperature; precipitation; atmospheric; circulation</t>
  </si>
  <si>
    <t>ANTARCTIC CIRCUMPOLAR WAVE; SURFACE MASS-BALANCE; SEA-ICE; ECMWF ANALYSES; ANNULAR MODE; TEMPERATURE; VARIABILITY; SIMULATION; OCEAN; PRECIPITATION</t>
  </si>
  <si>
    <t>An assessment of mean atmospheric and oceanic data from a 100-year segment of a pre-industrial control run of version 3 of the Hadley Centre climate model is presented. The model output has been verified against in situ measurements from expeditions, data from the research stations and mean fields from the 15 year re-analysis project of the European Centre for Medium-range Weather Forecasts (ECMWF). The wave number 3 pattern of the mean sea-level pressure (MSLP) and 500-hPa height fields are handled reasonably well, but the climatological troughs over the Bellingshausen Sea and at 130 degrees E are too deep in winter by about 9 hPa at the surface. This is a result of positive sea-surface temperature (SST) errors over the tropical, eastern sides of the major ocean basins. These overly deep surface troughs result in the Antarctic coastal easterlies being too strong along the coast of Marie Byrd Land and much of the coast of East Antarctica. The circumpolar trough is too deep in summer by about 1.5 hPa and is located several degrees too far north in winter. Near-surface air temperatures over the interior of the Antarctic are in error by several degrees where the model has incorrect orographic height. The low-level temperature inversion is too strong over the Antarctic plateau. Precipitation minus evaporation over the interior of the Antarctic is slightly too low. The maximum in sea ice extent and the phase of the semi-annual oscillation (SAO) both lag the best available verification data by about 1 month. Copyright (C) 2006 Royal Meteorological Society.</t>
  </si>
  <si>
    <t>NERC, British Antarctic Survey, Cambridge CB3 0ER, England</t>
  </si>
  <si>
    <t>NERC, British Antarctic Survey, High Cross,Madingley Rd, Cambridge CB3 0ER, England.</t>
  </si>
  <si>
    <t>J.Turner@bas.ac.uk</t>
  </si>
  <si>
    <t>Turner, John/0000-0002-6111-5122</t>
  </si>
  <si>
    <t>NERC [bas010003] Funding Source: UKRI; Natural Environment Research Council [bas010003] Funding Source: researchfish</t>
  </si>
  <si>
    <t>WILEY</t>
  </si>
  <si>
    <t>HOBOKEN</t>
  </si>
  <si>
    <t>111 RIVER ST, HOBOKEN 07030-5774, NJ USA</t>
  </si>
  <si>
    <t>0899-8418</t>
  </si>
  <si>
    <t>1097-0088</t>
  </si>
  <si>
    <t>INT J CLIMATOL</t>
  </si>
  <si>
    <t>Int. J. Climatol.</t>
  </si>
  <si>
    <t>10.1002/joc.1260</t>
  </si>
  <si>
    <t>Meteorology &amp; Atmospheric Sciences</t>
  </si>
  <si>
    <t>009HD</t>
  </si>
  <si>
    <t>WOS:000235101500007</t>
  </si>
  <si>
    <t>O'Sullivan, LA; Rinna, J; Humphreys, G; Weightman, AJ; Fry, JC</t>
  </si>
  <si>
    <t>Culturable phylogenetic diversity of the phylum 'Bacteroidetes' from river epilithon and coastal water and description of novel members of the family Flavobacteriaceae: Epilithonimonas tenax gen. nov., sp nov and Persicivirga xylanidelens gen. nov., sp nov.</t>
  </si>
  <si>
    <t>INTERNATIONAL JOURNAL OF SYSTEMATIC AND EVOLUTIONARY MICROBIOLOGY</t>
  </si>
  <si>
    <t>RIBOSOMAL-RNA GENE; IN-SITU HYBRIDIZATION; COMB. NOV; MARINE BACTERIUM; EMENDED DESCRIPTION; ANTARCTIC LAKE; SEA-ICE; RECLASSIFICATION; PROPOSAL; CLASSIFICATION</t>
  </si>
  <si>
    <t>Members of the phylum 'Bacteroidetes' are important heterotrophs involved in cycling organic carbon in aquatic habitats. Their diversity has been studied by molecular methods in both freshwater and marine habitats and many novel genera and species within this phylum have been characterized in recent years. In this study, we examined the diversity of members of the 'Bacteroidetes' that could be readily isolated on solid media from river epilithon and coastal sea water. Most (93%) of the 55 isolates confirmed as members of the 'Bacteroidetes' and examined by phylogenetic analysis of 16S rRNA gene sequences belonged to the Flavobacteriaceae. Furthermore, most (62%) of these were almost certainly members of the genus Flavobacterium and all but one were from river epilithon. Conversely, the sea-water isolates were more widely distributed in clades containing other genera. Some of the isolates were deep-branching within phylogenetic trees and so could not be assigned to putative genera. Two of these deep-branching isolates were characterized by polyphasic taxonomy and are proposed as novel species within two new genera of the family Flavobacteriaceae. These are Epilithonimonas tenax gen. nov., sp. nov. (type strain EP105(T) = NCIMB 14026(T) = DSM 16811(T)) and Persicivirga xylanidelens gen. nov., sp. nov.</t>
  </si>
  <si>
    <t>Univ Cardiff Wales, Cardiff Sch Biosci, Cardiff CF10 3TL, Wales; Univ Cardiff Wales, Sch Earth Ocean &amp; Planetary Sci, Cardiff CF10 3TL, Wales</t>
  </si>
  <si>
    <t>Cardiff University; Cardiff University</t>
  </si>
  <si>
    <t>Univ Cardiff Wales, Cardiff Sch Biosci, POB 915,Main Bldg,Pk Pl, Cardiff CF10 3TL, Wales.</t>
  </si>
  <si>
    <t>Fry@Cardiff.ac.uk</t>
  </si>
  <si>
    <t>Weightman, Andrew/W-7659-2019; Weightman, Andrew J/A-2970-2010; Fry, John C/H-6081-2012; Weightman, Andrew/W-8681-2019</t>
  </si>
  <si>
    <t>Weightman, Andrew/0000-0002-6671-2209; Weightman, Andrew J/0000-0002-6671-2209; Humphreys, Gavin/0000-0002-9138-0859</t>
  </si>
  <si>
    <t>MICROBIOLOGY SOC</t>
  </si>
  <si>
    <t>CHARLES DARWIN HOUSE, 12 ROGER ST, LONDON WC1N 2JU, ERKS, ENGLAND</t>
  </si>
  <si>
    <t>1466-5026</t>
  </si>
  <si>
    <t>1466-5034</t>
  </si>
  <si>
    <t>INT J SYST EVOL MICR</t>
  </si>
  <si>
    <t>Int. J. Syst. Evol. Microbiol.</t>
  </si>
  <si>
    <t>10.1099/ijs.0.63941-0</t>
  </si>
  <si>
    <t>Microbiology</t>
  </si>
  <si>
    <t>005GS</t>
  </si>
  <si>
    <t>WOS:000234811200026</t>
  </si>
  <si>
    <t>Pálffy, K; Vörös, L</t>
  </si>
  <si>
    <t>Palffy, Karoly; Voros, Lajos</t>
  </si>
  <si>
    <t>Effects of UV-A radiation on Desmodesmus armatus:: Changes in growth rate, pigment content and morphological appearance</t>
  </si>
  <si>
    <t>INTERNATIONAL REVIEW OF HYDROBIOLOGY</t>
  </si>
  <si>
    <t>UV-A radiation; photosynthetically active radiation; coenobium; chlorophyll-a; carotenoids</t>
  </si>
  <si>
    <t>SOLAR ULTRAVIOLET-RADIATION; B RADIATION; IN-SITU; PHYTOPLANKTON PHOTOSYNTHESIS; MARINE DIATOM; DNA-DAMAGE; CHLOROPHYLL FLUORESCENCE; ANTARCTIC CYANOBACTERIA; TAXONOMIC COMPOSITION; MOUNTAIN LAKE</t>
  </si>
  <si>
    <t>Laboratory cultures of Desmodesmus armatus (R. CHOD.) HEGEW. were grown under different levels of photosynthetically active radiation (PAR) supplemented with 3.75 mW (.) cm(-2) UV-A radiation. Growth rate was monitored daily, chlorophyl-a concentration, total carotenoid content, cell number and the relative abundance of different coenobial forms was determined at the end of each experiment. Exposure to UV-A radiation resulted in an increasing inhibition of growth towards higher PAR levels, reaching 100% at 400 mu mol (.) m(-2 .) s(-1). Cellular carotenoid content was higher in the presence of UV-A radiation, on the other hand no differences were observed in cellular chlorophyll-a concentration. UV-A radiation also induced changes in coenobium formation with a decreasing proportion of 4-celled coenobia and an increase in the abundance of 2-celled and teratologic coenobia, suggesting that high intensity UV-A radiation may influence cell cycle events or morphology development.</t>
  </si>
  <si>
    <t>Univ W Hungary, Fac Agr &amp; Food Sci, Dept Plant Physiol &amp; Plant Biotechnol, H-9200 Mosonmagyarovar, Hungary; Hungarian Acad Sci, Balaton Limnol Res Inst, H-8237 Tihany, Hungary</t>
  </si>
  <si>
    <t>University of West Hungary; Hungarian Research Network; Hungarian Academy of Sciences; HUN-REN Centre for Ecological Research; HUN-REN Balaton Limnological Research Institute</t>
  </si>
  <si>
    <t>Pálffy, K (corresponding author), Univ W Hungary, Fac Agr &amp; Food Sci, Dept Plant Physiol &amp; Plant Biotechnol, H-9200 Mosonmagyarovar, Hungary.</t>
  </si>
  <si>
    <t>pkaroly@mtk.nyme.hu</t>
  </si>
  <si>
    <t>Palffy, Karoly/0000-0003-2015-7972</t>
  </si>
  <si>
    <t>1434-2944</t>
  </si>
  <si>
    <t>1522-2632</t>
  </si>
  <si>
    <t>INT REV HYDROBIOL</t>
  </si>
  <si>
    <t>Int. Rev. Hydrobiol.</t>
  </si>
  <si>
    <t>10.1002/iroh.200510843</t>
  </si>
  <si>
    <t>103XZ</t>
  </si>
  <si>
    <t>WOS:000241921800005</t>
  </si>
  <si>
    <t>Katz, UF</t>
  </si>
  <si>
    <t>Faessler, A</t>
  </si>
  <si>
    <t>Neutrino telescopy in the Mediterranean Sea</t>
  </si>
  <si>
    <t>INTERNATIONAL WORKSHOP ON NUCLEAR PHYSICS 27TH COURSE: NEUTRINOS IN COSMOLOGY, IN ASTRO, PARTICLE AND NUCLEAR PHYSICS</t>
  </si>
  <si>
    <t>PROGRESS IN PARTICLE AND NUCLEAR PHYSICS</t>
  </si>
  <si>
    <t>International Workshop on Nuclear Physics 27th Course - Neutrinos in Cosmology, in Astro, Particle and Nuclear Physics</t>
  </si>
  <si>
    <t>SEP 16-24, 2005</t>
  </si>
  <si>
    <t>Erice, ITALY</t>
  </si>
  <si>
    <t>neutrino astronomy; neutrino telescopes; ANTARES; NEMO; NESTOR; KM3NeT; supernova remnants; diffuse neutrino flux; indirect dark matter detection</t>
  </si>
  <si>
    <t>PERFORMANCE; OPERATION; MODULE</t>
  </si>
  <si>
    <t>The observation of high-energy extraterrestrial neutrinos is one of the most promising future options to increase our knowledge on non-thermal processes in the universe. Neutrinos are e.g. unavoidably produced in environments where high-energy hadrons collide; in particular this almost certainly must be true in the astrophysical accelerators of cosmic rays, which thus could be identified unambiguously by sky observations in neutrino light. On the one hand, neutrinos are ideal messengers for astrophysical observations since they are not deflected by electromagnetic fields and interact so weakly that they are able to escape even from very dense production regions and traverse large distances in the universe without attenuation. On the other hand, their weak interaction poses a significant problem for detecting neutrinos. Huge target masses up to gigatons must be employed, requiring to instrument natural abundances of media such as sea water or Antarctic ice. The first generation of such neutrino telescopes is taking data or will do so in the near future, while the second-generation projects with cubic-kilometre sizes are under construction or being prepared. This report focuses on status and prospects of current (ANTARES, MEMO, NESTOR) and future (KM3NeT) neutrino telescope projects in the Mediterranean Sea. (c) 2006 Elsevier B.V. All rights reserved.</t>
  </si>
  <si>
    <t>Univ Erlangen Nurnberg, Inst Phys, D-91058 Erlangen, Germany</t>
  </si>
  <si>
    <t>Katz, UF (corresponding author), Univ Erlangen Nurnberg, Inst Phys, Erwin Rommel Str 1, D-91058 Erlangen, Germany.</t>
  </si>
  <si>
    <t>katz@physik.uni-erlangen.de</t>
  </si>
  <si>
    <t>Katz, Uli/E-1925-2013</t>
  </si>
  <si>
    <t>Katz, Uli/0000-0002-7063-4418</t>
  </si>
  <si>
    <t>0146-6410</t>
  </si>
  <si>
    <t>PROG PART NUCL PHYS</t>
  </si>
  <si>
    <t>10.1016/j.ppnp.2006.01.006</t>
  </si>
  <si>
    <t>Astronomy &amp; Astrophysics; Physics, Nuclear; Physics, Particles &amp; Fields</t>
  </si>
  <si>
    <t>BEL59</t>
  </si>
  <si>
    <t>WOS:000238001000034</t>
  </si>
  <si>
    <t>Wuilloud, RG; Altamirano, JC; Smichowski, PN; Heitkemper, DT</t>
  </si>
  <si>
    <t>Wuilloud, Rodolfo G.; Altamirano, Jorgelina C.; Smichowski, Patricia N.; Heitkemper, Douglas T.</t>
  </si>
  <si>
    <t>Investigation of arsenic speciation in algae of the Antarctic region by HPLC-ICP-MS and HPLC-ESI-Ion Trap MS</t>
  </si>
  <si>
    <t>JOURNAL OF ANALYTICAL ATOMIC SPECTROMETRY</t>
  </si>
  <si>
    <t>ELECTROSPRAY-MASS-SPECTROMETRY; ATOMIC FLUORESCENCE SPECTROMETRY; CHLORELLA-VULGARIS; ENVIRONMENTAL-SAMPLES; RIBOSIDE DERIVATIVES; TERRESTRIAL ORIGIN; NATURAL TISSUES; ARSENOSUGARS; MARINE; CHROMATOGRAPHY</t>
  </si>
  <si>
    <t>An investigation into presence and nature of As species in algae originating from the Antarctic region is presented in this work. Arsenic speciation information in Antarctic algae samples was obtained by using anion- and cation- exchange chromatography with on-line detection by inductively coupled plasma spectrometry ( ICP- MS) or electrospray ionization ion trap mass spectrometry (ESI- ITMS). Total arsenic concentrations found by ICP- MS in the Antarctic algae samples ranged from 8.4 to 29.3 mu g As g(-1) ( dry weight). Arsenic species were efficiently extracted ( 83 - 108%) by using an MeOH : H(2)O ( 1 : 1) mixture. Anion- exchange chromatography utilizing gradient elution with 25 mM ammonium bicarbonate adjusted to pH 10 was used to separate the anionic As species present in the algae extracts. Additionally, gradient cation- exchange chromatography was performed using 4 mM pyridine solution adjusted to pH 2.4. This allowed the separation of neutral and cationic As species present in the algae extracts. High volatility of the mobile phases allowed sample introduction compatibility with both ICP- MS and ESI- ITMS detectors. Three arsenosugar species ( arsenosugar - OH, - SO(3), and - PO(4)) previously reported in marine algae samples accounted for similar to 50 - 80% of the total extractable arsenic in 4 of the 5 samples studied. In one algae sample, the presence of a previously unreported arsenic- containing compound in algae samples was con. rmed by ESI- ITMS isolation and fragmentation as 5- dimethylarsinoyl- b- ribofuranose. This compound has been identi. ed previously in marine bivalves but, to our knowledge, not in algae samples.</t>
  </si>
  <si>
    <t>US FDA, Forens Chem Ctr, Cincinnati, OH 45237 USA; Comis Nacl Energia Atom, Unidad Actividad Quim, Ctr Atom Constituyentes, RA-1650 Buenos Aires, DF, Argentina</t>
  </si>
  <si>
    <t>US Food &amp; Drug Administration (FDA); Comision Nacional de Energia Atomica (CNEA)</t>
  </si>
  <si>
    <t>Wuilloud, RG (corresponding author), Consejo Nacl Invest Cient &amp; Tecn, Lab Environm Res &amp; Serv Mendoza, LISAMEN, CRICYT, Av Ruiz Leal S-N Parque Gen San Martin,M 5502 IRA, Mendoza, Argentina.</t>
  </si>
  <si>
    <t>rwuilloud@lab.cricyt.edu.ar</t>
  </si>
  <si>
    <t>Altamirano, Jorgelina Cecilia/IUO-1523-2023; Wuilloud, Rodolfo/N-6821-2014</t>
  </si>
  <si>
    <t>Wuilloud, Rodolfo/0000-0002-2962-7718; Altamirano, Jorgelina/0000-0002-4022-3810</t>
  </si>
  <si>
    <t>ROYAL SOC CHEMISTRY</t>
  </si>
  <si>
    <t>CAMBRIDGE</t>
  </si>
  <si>
    <t>THOMAS GRAHAM HOUSE, SCIENCE PARK, MILTON RD, CAMBRIDGE CB4 0WF, CAMBS, ENGLAND</t>
  </si>
  <si>
    <t>0267-9477</t>
  </si>
  <si>
    <t>J ANAL ATOM SPECTROM</t>
  </si>
  <si>
    <t>J. Anal. At. Spectrom.</t>
  </si>
  <si>
    <t>10.1039/b607203h</t>
  </si>
  <si>
    <t>Chemistry, Analytical; Spectroscopy</t>
  </si>
  <si>
    <t>Chemistry; Spectroscopy</t>
  </si>
  <si>
    <t>099BT</t>
  </si>
  <si>
    <t>WOS:000241568200011</t>
  </si>
  <si>
    <t>Diettrich, JC; Nott, GJ; Espy, PJ; Chu, XZ; Riggin, D</t>
  </si>
  <si>
    <t>Statistics of sporadic iron layers and relation to atmospheric dynamics</t>
  </si>
  <si>
    <t>JOURNAL OF ATMOSPHERIC AND SOLAR-TERRESTRIAL PHYSICS</t>
  </si>
  <si>
    <t>International Workshop on Layered Phenomena in the Mesosphere</t>
  </si>
  <si>
    <t>SEP, 2004</t>
  </si>
  <si>
    <t>Cambridge, ENGLAND</t>
  </si>
  <si>
    <t>Antarctic; lidar; sporadic iron layer</t>
  </si>
  <si>
    <t>NA LAYERS; LIDAR OBSERVATIONS; SODIUM LAYERS; METEORIC IRON; POLAR; FE; ENHANCEMENTS; MESOSPHERE; LATITUDES; ARECIBO</t>
  </si>
  <si>
    <t>At Rothera Research Station (67.3 degrees S, 68.1 degrees W), Antarctica, 296 h of day and nighttime Fe-Boltzmann temperature lidar data were accumulated in 2003. During this time, sporadic iron layers (Fes) were observed with an annual average occurrence probability of 14%. The peak altitude of the Fes layers was highest during the summer, with a fitted value of 103 km while during the winter the layer decreased in height to 90 kin with an annual average of 97 km. The atmospheric temperature perturbations and potential energy density profiles computed from the same lidar data exhibited increased temperature but constant-with-height potential energy density when sporadic Fe layer occurred. Once sporadic Fe layers disappeared, the potential energy density decreased with height, indicating an energy loss due to atmospheric gravity wave breaking. These results suggest a link between Fes and atmospheric dynamics. (c) 2005 Elsevier Ltd. All rights reserved.</t>
  </si>
  <si>
    <t>British Antarctic Survey, Phys Sci Div, Cambridge CB4 0ET, England; Univ Illinois, Urbana, IL 60680 USA; Colorado Res Assoc, Boulder, CO USA</t>
  </si>
  <si>
    <t>UK Research &amp; Innovation (UKRI); Natural Environment Research Council (NERC); NERC British Antarctic Survey; University of Illinois System; University of Illinois Urbana-Champaign</t>
  </si>
  <si>
    <t>British Antarctic Survey, Phys Sci Div, Cambridge CB4 0ET, England.</t>
  </si>
  <si>
    <t>jadi@bas.ac.uk</t>
  </si>
  <si>
    <t>Chu, Xinzhao/I-5670-2015</t>
  </si>
  <si>
    <t>Riggin, Dennis/0000-0001-5094-7620</t>
  </si>
  <si>
    <t>NERC [bas010005] Funding Source: UKRI; Natural Environment Research Council [bas010005] Funding Source: researchfish</t>
  </si>
  <si>
    <t>1364-6826</t>
  </si>
  <si>
    <t>1879-1824</t>
  </si>
  <si>
    <t>J ATMOS SOL-TERR PHY</t>
  </si>
  <si>
    <t>J. Atmos. Sol.-Terr. Phys.</t>
  </si>
  <si>
    <t>10.1016/j.jastp.2005.08.008</t>
  </si>
  <si>
    <t>Geochemistry &amp; Geophysics; Meteorology &amp; Atmospheric Sciences</t>
  </si>
  <si>
    <t>002TQ</t>
  </si>
  <si>
    <t>WOS:000234634800011</t>
  </si>
  <si>
    <t>Lambo, AJ; Patel, TR</t>
  </si>
  <si>
    <t>Isolation and characterization of a biphenyl-utilizing psychrotrophic bacterium, Hydrogenophaga taeniospiralis IA3-A, that cometabolize dichlorobiphenyls and polychlorinated biphenyl congeners in Aroclor 1221</t>
  </si>
  <si>
    <t>JOURNAL OF BASIC MICROBIOLOGY</t>
  </si>
  <si>
    <t>PSYCHROTOLERANT ANTARCTIC BACTERIA; LOW-TEMPERATURE; GROWTH-RATE; CHLORINE SUBSTITUTION; AEROBIC DEGRADATION; DEGRADING BACTERIUM; BIODEGRADATION; STRAIN; MICROORGANISMS; GROUNDWATER</t>
  </si>
  <si>
    <t>A psychrotrophic bacterium isolated from polychlorinated biphenyls (PCBs)-contaminated soil grew on biphenyl as sole carbon and energy source, and actively cometabolized PCBs at low temperature. Analysis of cellular fatty acids indicate that the bacterium is most closely related to Hydrogenophaga taeniospiralis. Resting cells incubated with 10 ppm of Aroclor 1221 at 5 or 30 degrees C for 48 h removed all mono-, most di-, and several trichlorobiphenyls. At 5 degrees C, removal of MCBs (monochlorobiphenyls) was between 63 to 89%, DCBs (dichlorobiphenyls) was between 30 to 78%, and TCBs (trichlorobiphenyls) was between 30 to 75%. At 30 degrees C, removal of MCBs was 100%, DCBs was between 30 to 100%, and TCBs was between 27 to 59%. Congeners with two or more ortho chlorine were generally resistant to degradation. However, removal of di-ortho plus para-substituted congeners at 30 degrees C and not at 5 degrees C, suggest that the presence of a para-chlorine enhanced the cometabolism of these congeners at 30 degrees C. Furthermore, after 72 h, resting cells removed 68 and 83% of 500 mu M of 2,4'-dichlorobiphenyl (2,4'-DCB) and, 35 and 44% of 500 mu M of 2,3-dichlorobiphenyl (2,3-DCB) at 5 and 30 degrees C, respectively. Analysis of metabolites by GC-MS indicates that the cometabolized 2,3-DCB was completely recovered as 2,3-chlorobenzoic acid (2,3-CBA), while the cometabolized 2,4'-DCB was not completely recovered as chlorobenzoic acid. To our knowledge, it is the first strain of Hydrogenophaga taeniospiralis found to degrade an organic pollutant, and also the first psychrotrophic strain of a member of the genus Hydrogenophaga to grow on biphenyl or cometabolize PCBs at low temperature. Results suggest that the bacterium has potential use in the bioremediation of PCB-contaminated sites in cold regions.</t>
  </si>
  <si>
    <t>Mem Univ Newfoundland, Dept Biol, St John, NF A1B 3X9, Canada</t>
  </si>
  <si>
    <t>Memorial University Newfoundland</t>
  </si>
  <si>
    <t>Mem Univ Newfoundland, Dept Biol, St John, NF A1B 3X9, Canada.</t>
  </si>
  <si>
    <t>adewalelambo@hotmail.com</t>
  </si>
  <si>
    <t>0233-111X</t>
  </si>
  <si>
    <t>1521-4028</t>
  </si>
  <si>
    <t>J BASIC MICROB</t>
  </si>
  <si>
    <t>J. Basic Microbiol.</t>
  </si>
  <si>
    <t>10.1002/jobm.200510006</t>
  </si>
  <si>
    <t>037QF</t>
  </si>
  <si>
    <t>WOS:000237161200002</t>
  </si>
  <si>
    <t>Vaughan, G; Quinn, PT; Green, AC; Bean, J; Roscoe, HK; van Roozendael, M; Goutail, F</t>
  </si>
  <si>
    <t>SAOZ measurements of NO2 at Aberystwyth</t>
  </si>
  <si>
    <t>JOURNAL OF ENVIRONMENTAL MONITORING</t>
  </si>
  <si>
    <t>NITROGEN-DIOXIDE MEASUREMENTS; AIR-MASS FACTORS; STRATOSPHERIC NO2; COLUMN MEASUREMENTS; NEW-ZEALAND; OZONE; VALIDATION; ABSORPTION; MODEL; SPECTROMETERS</t>
  </si>
  <si>
    <t>We present in this paper fifteen years' measurements, from March 1991 to September 2005, of stratospheric NO2 vertical columns measured by a SAOZ zenith-sky visible spectrometer. The instrument spent most of its time at Aberystwyth, Wales, with occasional excursions to other locations. The data have been analysed with the WinDOAS analysis program with low-temperature high-resolution NO2 cross-sections and fitting a slit function to each spectrum. Because of a change in detector in May 1998 there is some uncertainty about the relative changes before and after this date, which are partially constrained by the results of an intercomparison exercise. However, the effect of the Mt Pinatubo aerosol cloud is very evident in the data from 1991-94, with a decrease of 10% in NO2 in the summer of 1992 (the SAOZ was located in Lerwick, Scotland during the winter of 1991 - 92 and observed very low NO2 values but these cannot be directly compared to the Aberystwyth data). To focus more on interannual and long-term variations in NO2, a seasonal variation comprising an annual and semi-annual component was fitted to the morning and evening twilight separately from 1995 to the present. This fit yielded average NO2 columns of 4.08 X 10(15) cm(-2) and 2.68 X 10(15) cm(-2) for the evening and morning twilight, respectively, with a corresponding annual amplitude of +/- 2.08 X 10(15) cm(-2) and +/- 1.50 X 10(15) cm(-2). Departures from the fitted curve show a trend of 6% per decade, consistent with that reported elsewhere, for the period 1998 - 2003, but in the past two years a distinct interannual variation of amplitude of similar to 8% has emerged.</t>
  </si>
  <si>
    <t>Univ Manchester, Sch Earth Atmospher &amp; Environm Sci, Manchester M60 1QD, Lancs, England; Met Off, Exeter EX1 3PB, Devon, England; British Antarctic Survey, Cambridge CB3 0ET, England; Belgian Inst Space Aeron, B-1180 Brussels, Belgium; CNRS, Serv Aeron, F-91370 Verrieres Le Buisson, France</t>
  </si>
  <si>
    <t>University of Manchester; Met Office - UK; UK Research &amp; Innovation (UKRI); Natural Environment Research Council (NERC); NERC British Antarctic Survey; Centre National de la Recherche Scientifique (CNRS)</t>
  </si>
  <si>
    <t>Vaughan, G (corresponding author), Univ Manchester, Sch Earth Atmospher &amp; Environm Sci, Manchester M60 1QD, Lancs, England.</t>
  </si>
  <si>
    <t>geraint.vaughan@manchester.ac.uk</t>
  </si>
  <si>
    <t>Vaughan, Geraint/O-2459-2015</t>
  </si>
  <si>
    <t>Vaughan, Geraint/0000-0002-0885-0398</t>
  </si>
  <si>
    <t>Natural Environment Research Council [bas010020, bas010008] Funding Source: researchfish; NERC [bas010008, bas010020] Funding Source: UKRI</t>
  </si>
  <si>
    <t>1464-0325</t>
  </si>
  <si>
    <t>J ENVIRON MONITOR</t>
  </si>
  <si>
    <t>J. Environ. Monit.</t>
  </si>
  <si>
    <t>10.1039/b511482a</t>
  </si>
  <si>
    <t>021NN</t>
  </si>
  <si>
    <t>WOS:000235990000004</t>
  </si>
  <si>
    <t>Zheng, J; Fisher, D; Blake, E; Hall, G; Vaive, J; Krachler, M; Zdanowicz, C; Lam, J; Lawsone, G; Shotyk, W</t>
  </si>
  <si>
    <t>An ultra-clean firn core from the Devon Island Ice Cap, Nunavut, Canada, retrieved using a titanium drill specially designed for trace element studies</t>
  </si>
  <si>
    <t>PLASMA-MASS-SPECTROMETRY; HEAVY-METAL ANALYSIS; GREENLAND SNOW; SEASONAL-VARIATIONS; ARCTIC CANADA; ANTARCTIC ICE; POLAR SNOW; GRAM LEVEL; LEAD; PB</t>
  </si>
  <si>
    <t>An electromechanical drill with titanium barrels was used to recover a 63.7 m long firn core from Devon Island Ice Cap, Nunavut, Canada, representing 155 years of precipitation. The core was processed and analysed at the Geological Survey of Canada by following strict clean procedures for measurements of Pb and Cd at concentrations at or below the pg g(-1) level. This paper describes the effectiveness of the titanium drill with respect to contamination during ice core retrieval and evaluates sample-processing procedures in laboratories. The results demonstrate that: (1) ice cores retrieved with this titanium drill are of excellent quality with metal contamination one to four orders of magnitude less than those retrieved with conventional drills; 92) the core cleaning and sampling protocols used were effective, contamination-free, and adequate for analysis of the metals (Pb and Cd) at low pg g(-1) levels; and (3) results from 489 firn core samples analysed in this study are comparable with published data from other sites in the Arctic, Greenland and the Antarctic.</t>
  </si>
  <si>
    <t>GSC No Canada, Geol Survey Canada, Nat Resources Canada, Ottawa, ON K1A 0E8, Canada; Univ Heidelberg, Inst Environm Geochem, D-6900 Heidelberg, Germany; Icefield Instruments Inc, Whitehorse, YT Y1A 5M2, Canada; Natl Res Council Canada, Inst Natl Measurement Stand, Ottawa, ON K1A 0R6, Canada; Environm Canada, Natl Water Res Inst, Burlington, ON L7R 4A6, Canada</t>
  </si>
  <si>
    <t>Natural Resources Canada; Lands &amp; Minerals Sector - Natural Resources Canada; Geological Survey of Canada; Ruprecht Karls University Heidelberg; National Research Council Canada; Environment &amp; Climate Change Canada; National Water Research Institute</t>
  </si>
  <si>
    <t>Zheng, J (corresponding author), GSC No Canada, Geol Survey Canada, Nat Resources Canada, 601 Booth St, Ottawa, ON K1A 0E8, Canada.</t>
  </si>
  <si>
    <t>jzheng@nrcan.gc.ca</t>
  </si>
  <si>
    <t>; Krachler, Michael/C-4293-2015; Shotyk, William/E-7026-2010</t>
  </si>
  <si>
    <t>Zdanowicz, Christian/0000-0002-1045-5063; Lam, Joseph/0000-0001-6402-0535; Krachler, Michael/0000-0003-0509-8951; Shotyk, William/0000-0002-2584-8388</t>
  </si>
  <si>
    <t>10.1039/b515886a</t>
  </si>
  <si>
    <t>WOS:000235990000011</t>
  </si>
  <si>
    <t>Basile-Doelsch, I</t>
  </si>
  <si>
    <t>Si stable isotopes in the Earth's surface: A review</t>
  </si>
  <si>
    <t>JOURNAL OF GEOCHEMICAL EXPLORATION</t>
  </si>
  <si>
    <t>7th Symposium on the Geochemistry of the Earths Surface (GES-7)</t>
  </si>
  <si>
    <t>AUG 23-27, 2005</t>
  </si>
  <si>
    <t>Aix en Provence, FRANCE</t>
  </si>
  <si>
    <t>silicon cycle; silicon isotopes; comparison IRMS/MC-ICP-MS/SIMS; fractionation</t>
  </si>
  <si>
    <t>SILICON ISOTOPES; FRACTIONATION; DIATOMS; OCEAN; CYCLE</t>
  </si>
  <si>
    <t>Silicon (Si) is the second most abundant element on Earth after oxygen. Only few studies have attempted to use stable isotopes of Si as proxies for understanding the Si cycle and its variations in the past. By using three different methods (IRMS, MC-ICP-MS and SIMS), the overall measurements show that the isotopic composition (delta(30)Si) of terrestrial samples ranges from -5.7 parts per thousand to +3.4 parts per thousand. Dissolved Si in rivers and seawater is Si-30-enriched (-0.8 parts per thousand &lt; delta(30)Si &lt; +3.4 parts per thousand) compared to Si in endogeneous rocks (-1.1 parts per thousand &lt; delta(30)Si &lt; +0.7 parts per thousand). This global enrichment is counterbalanced by the Si-bearing phases (biogenic silica, clays, quartz) where Si is, in average, Si-30-depleted (-5.7 parts per thousand &lt; delta(30)Si &lt; +2.6 parts per thousand). These values are the result of fractionation which have been measured or estimated from -0.3 parts per thousand to -3.8 parts per thousand. The fractionation is modeled by two types of approaches: the Rayleigh distillation model (closed system) and the steady-state model (open system). These models have been used in the most recent studies to explain the observed delta(30)Si variations in continental environments and in the sub-Antarctic Ocean. (c) 2005 Elsevier B.V. All rights reserved.</t>
  </si>
  <si>
    <t>Univ Paul Cezanne, CNRS, CEREGE, UMR,IRD R161, Europole Arbois,BP80, F-13545 Aix En Provence 4, France; LSTUR, IRD La Reunion, F-97492 St Clotilde, Reunion, France</t>
  </si>
  <si>
    <t>Aix-Marseille Universite; Centre National de la Recherche Scientifique (CNRS)</t>
  </si>
  <si>
    <t>Univ Paul Cezanne, CNRS, CEREGE, UMR,IRD R161, Europole Arbois,BP80, F-13545 Aix En Provence 4, France.</t>
  </si>
  <si>
    <t>basile@cerege.fr</t>
  </si>
  <si>
    <t>Basile, Isabelle IBD/B-4173-2010</t>
  </si>
  <si>
    <t>0375-6742</t>
  </si>
  <si>
    <t>1879-1689</t>
  </si>
  <si>
    <t>J GEOCHEM EXPLOR</t>
  </si>
  <si>
    <t>J. Geochem. Explor.</t>
  </si>
  <si>
    <t>JAN-MAR</t>
  </si>
  <si>
    <t>SI</t>
  </si>
  <si>
    <t>10.1016/j.gexplo.2005.08.050</t>
  </si>
  <si>
    <t>016RX</t>
  </si>
  <si>
    <t>WOS:000235638900058</t>
  </si>
  <si>
    <t>Bland, PA</t>
  </si>
  <si>
    <t>Terrestrial weathering rates defined by extraterrestrial materials</t>
  </si>
  <si>
    <t>weathering rates; meteorites</t>
  </si>
  <si>
    <t>ORDINARY CHONDRITES; ANTARCTIC METEORITES; EARTHS SURFACE; AGES; IDDINGSITE; OLIVINE; STONY</t>
  </si>
  <si>
    <t>In studies attempting to quantify the effects of climate on weathering rate, meteorites offer a number of advantages over terrestrial rocks-material from one outcrop (in this case, an asteroid parent body) delivers samples of similar composition and texture over the whole of the Earth's surface, in all climatic regimes; the starting composition prior to weathering is known in detail; the terrestrial residence time may be accurately determined from cosmogenic radionuclides; and the degree of weathering can be tracked by measuring the abundance of ferric iron. When analysing meteorites found in different deserts, we can discriminate a range of weathering rates. We observe a rapid initial weathering phase with the majority of weathering occurring in the first few hundred years after fall. Although the overall degree of weathering and the suite of weathering products observed will be specific to meteorites, the relative differences in weathering rate between different sites should be similar for terrestrial rocks. (c) 2005 Elsevier B.V. All rights reserved.</t>
  </si>
  <si>
    <t>Univ London Imperial Coll Sci &amp; Technol, Dept Earth Sci &amp; Engn, IARC, London SW7 2AZ, England</t>
  </si>
  <si>
    <t>Imperial College London; Natural History Museum London</t>
  </si>
  <si>
    <t>Bland, PA (corresponding author), Univ London Imperial Coll Sci &amp; Technol, Dept Earth Sci &amp; Engn, IARC, S Kensington Campus, London SW7 2AZ, England.</t>
  </si>
  <si>
    <t>p.a.bland@imperial.ac.uk</t>
  </si>
  <si>
    <t>Bland, Phil/M-9392-2018</t>
  </si>
  <si>
    <t>Bland, Phil/0000-0002-4681-7898</t>
  </si>
  <si>
    <t>10.1016/j.gexplo.2005.08.051</t>
  </si>
  <si>
    <t>WOS:000235638900059</t>
  </si>
  <si>
    <t>Horwath, M; Dietrich, R; Baessler, M; Nixdorf, U; Steinhage, D; Fritzsche, D; Damm, V; Reitmayr, G</t>
  </si>
  <si>
    <t>Horwath, Martin; Dietrich, Reinhard; Baessler, Michael; Nixdorf, Uwe; Steinhage, Daniel; Fritzsche, Diedrich; Damm, Volkmar; Reitmayr, Gernot</t>
  </si>
  <si>
    <t>Nivlisen, an Antarctic ice shelf in Dronning Maud Land: geodetic-glaciological results from a combined analysis of ice thickness, ice surface height and ice-flow observations</t>
  </si>
  <si>
    <t>JOURNAL OF GLACIOLOGY</t>
  </si>
  <si>
    <t>MASS-BALANCE; RADAR; ALTIMETRY</t>
  </si>
  <si>
    <t>Extensive observations on Nivlisen, an ice shelf on Antarctica's Atlantic coast, are analyzed and combined to obtain a new description of its complex glaciological regime. We generate models of ice thickness (primarily from ground-penetrating radar), ellipsoidal ice surface height (primarily from ERS-1 satellite altimetry), freeboard height (by utilizing precise sea surface information) and ice-flow velocity (from ERS-1/-2 SAR interferometry and GPS measurements). Accuracy assessments are included. Exploiting the hydrostatic equilibrium relation, we infer the 'apparent air layer thickness' as a useful measure for a glacier's density deviation from a pure ice body. This parameter exhibits a distinct spatial variation (ranging from approximate to 2 to approximate to 16 m) which we attribute to the transition from an ablation area to an accumulation area. We compute mass-flux and mass-balance parameters on a local and areally integrated scale. The combined effect of bottom mass balance and temporal change averaged over an essential part of Nivlisen is -654 +/- 170 kg m(-2) a(-1), which suggests bottom melting processes dominate. We discuss our results in view of temporal ice-mass changes (including remarks on historical observations), basal processes, near-surface processes and ice-flow dynamical features. The question of temporal changes remains open from the data at hand, and we recommend further observations and analyses for its solution.</t>
  </si>
  <si>
    <t>Tech Univ Dresden, Inst Planetare Geodasie, D-01062 Dresden, Germany; Alfred Wegener Inst Polar &amp; Marine Res, D-27515 Bremerhaven, Germany; Alfred Wegener Inst Polar &amp; Marine Res, D-14473 Potsdam, Germany; Fed Inst Geosci &amp; Nat Resources BGR, D-30631 Hannover, Germany</t>
  </si>
  <si>
    <t>Technische Universitat Dresden; Helmholtz Association; Alfred Wegener Institute, Helmholtz Centre for Polar &amp; Marine Research; Helmholtz Association; Alfred Wegener Institute, Helmholtz Centre for Polar &amp; Marine Research</t>
  </si>
  <si>
    <t>Horwath, M (corresponding author), Tech Univ Dresden, Inst Planetare Geodasie, D-01062 Dresden, Germany.</t>
  </si>
  <si>
    <t>horwath@ipg.geo.tu-dresden.de</t>
  </si>
  <si>
    <t>Horwath, Martin/ABH-4320-2020; Horwath, Martin/F-9239-2011</t>
  </si>
  <si>
    <t>Horwath, Martin/0000-0001-5797-244X; Fritzsche, Diedrich/0000-0002-0018-8993; Nixdorf, Uwe/0000-0002-6288-4361</t>
  </si>
  <si>
    <t>CAMBRIDGE UNIV PRESS</t>
  </si>
  <si>
    <t>EDINBURGH BLDG, SHAFTESBURY RD, CB2 8RU CAMBRIDGE, ENGLAND</t>
  </si>
  <si>
    <t>0022-1430</t>
  </si>
  <si>
    <t>1727-5652</t>
  </si>
  <si>
    <t>J GLACIOL</t>
  </si>
  <si>
    <t>J. Glaciol.</t>
  </si>
  <si>
    <t>10.3189/172756506781828953</t>
  </si>
  <si>
    <t>Geography, Physical; Geosciences, Multidisciplinary</t>
  </si>
  <si>
    <t>085MT</t>
  </si>
  <si>
    <t>Green Submitted, Bronze</t>
  </si>
  <si>
    <t>WOS:000240608900003</t>
  </si>
  <si>
    <t>Parrenin, F; Hindmarsh, RCA; Rémy, F</t>
  </si>
  <si>
    <t>Parrenin, F.; Hindmarsh, R. C. A.; Remy, F.</t>
  </si>
  <si>
    <t>Analytical solutions for the effect of topography, accumulation rate and lateral flow divergence on isochrone layer geometry</t>
  </si>
  <si>
    <t>ANTARCTIC ICE-SHEET; INTERNAL LAYERS; WEST ANTARCTICA; SIPLE DOME; GREENLAND; RADAR; AGE; PATTERN; STREAM; SUMMIT</t>
  </si>
  <si>
    <t>The effect of spatial variations in ice thickness, accumulation rate and lateral flow divergence on radar-detected isochrone geometry in ice sheets is computed using an analytical method, under assumptions of a steady-state ice-sheet geometry, a steady-state accumulation pattern and a horizontally uniform velocity shape function. By using a new coordinate transform, we show that the slope of the isochrones (with a normalized vertical coordinate) depends on three terms: a principal term which determines the sign of the slope, and two scale factors which can modify only the amplitude of the slope. The principal term depends only on a local characteristic time (ice thickness divided by accumulation rate minus melting rate) between the initial and final positions of the ice particle. For plug flow, only the initial and final values have an influence. Further applications are a demonstration of how the vertical velocity profile can be deduced from sharp changes in isochrone slopes induced by abrupt steps in bedrock or mass balance along the ice flow. We also demonstrate ways the new coordinate system may be used to test the accuracy of numerical flow models.</t>
  </si>
  <si>
    <t>Legos, F-31055 Toulouse, France; Univ Grenoble 1, CNRS, Lab Glaciol &amp; Geophys Environm, F-38402 St Martin Dheres, France; British Antarctic Survey, NERC, Cambridge CB3 0ET, England</t>
  </si>
  <si>
    <t>Universite de Toulouse; Universite Toulouse III - Paul Sabatier; Centre National de la Recherche Scientifique (CNRS); Institut de Recherche pour le Developpement (IRD); Laboratoire d'Etudes en Geophysique et oceanographie spatiales; Communaute Universite Grenoble Alpes; Universite Grenoble Alpes (UGA); Centre National de la Recherche Scientifique (CNRS); UK Research &amp; Innovation (UKRI); Natural Environment Research Council (NERC); NERC British Antarctic Survey</t>
  </si>
  <si>
    <t>Parrenin, F (corresponding author), Legos, 18 Av Edouard Belin, F-31055 Toulouse, France.</t>
  </si>
  <si>
    <t>parrenin@ujf-grenoble.fr</t>
  </si>
  <si>
    <t>Hindmarsh, Richard/N-1195-2019; Parrenin, Frédéric/H-3054-2014</t>
  </si>
  <si>
    <t>Hindmarsh, Richard/0000-0003-1633-2416; Parrenin, Frédéric/0000-0002-9489-3991</t>
  </si>
  <si>
    <t>10.3189/172756506781828728</t>
  </si>
  <si>
    <t>085MU</t>
  </si>
  <si>
    <t>WOS:000240609000003</t>
  </si>
  <si>
    <t>Glasser, NF; Goodsell, B; Copland, L; Lawson, W</t>
  </si>
  <si>
    <t>Glasser, Neil F.; Goodsell, Becky; Copland, Luke; Lawson, Wendy</t>
  </si>
  <si>
    <t>Debris characteristics and ice-shelf dynamics in the ablation region of the McMurdo Ice Shelf, Antarctica</t>
  </si>
  <si>
    <t>GLACIER SURGE; BREAK-UP; ROSS SEA; PENINSULA; SEDIMENT; COLLAPSE; SVALBARD; HISTORY; RETREAT; BENEATH</t>
  </si>
  <si>
    <t>This paper presents observations and measurements of debris characteristics and ice-shelf dynamics in the ablation region of the McMurdo Ice Shelf in the Ross Sea sector of Antarctica. Ice-shelf surface processes and dynamics are inferred from a combination of sedimentological descriptions, ground-penetrating radar investigations and through ablation, velocity and ice-thickness measurements. Field data show that in the study area the ice shelf moves relatively slowly (1.5-18.3 m a(-1)), has high ablation rates (43-441 mm during 2003/04 summer) and is thin (6-22 m). The majority of debris on the ice shelf was originally transported into the area by a large and dynamic ice-sheet/ice-shelf system at the Last Glacial Maximum. This debris is concentrated on the ice-shelf surface and is continually redistributed by surface ablation (creating an ice-cored landscape of large debris-rich mounds), ice-shelf flow (forming medial moraines) and meltwater streams (locally reworking material and redistributing it across the ice-shelf surface). A conceptual model for supraglacial debris transport by contemporary Antarctic ice shelves is presented, which emphasizes these links between debris supply, surface ablation and ice-shelf motion. Low-velocity ice shelves such as the McMurdo Ice Shelf can maintain and sequester a debris load for thousands of years, providing a mechanism by which ice shelves can accumulate sufficient debris to contribute to sediment deposition in the oceans.</t>
  </si>
  <si>
    <t>Univ Wales, Inst Geog &amp; Earth Sci, Ctr Glaciol, Aberystwyth SY23 3DB, Dyfed, Wales; Univ Canterbury, Dept Geog, Christchurch 1, New Zealand; Univ Canterbury, Gateway Antarctica, Christchurch 1, New Zealand; Univ Ottawa, Dept Geog, Ottawa, ON K1N 6N5, Canada</t>
  </si>
  <si>
    <t>Aberystwyth University; University of Canterbury; University of Canterbury; University of Ottawa</t>
  </si>
  <si>
    <t>Glasser, NF (corresponding author), Univ Wales, Inst Geog &amp; Earth Sci, Ctr Glaciol, Aberystwyth SY23 3DB, Dyfed, Wales.</t>
  </si>
  <si>
    <t>nfg@aber.ac.uk</t>
  </si>
  <si>
    <t>Glasser, Neil F/C-1971-2012</t>
  </si>
  <si>
    <t>Glasser, Neil/0000-0002-8245-2670</t>
  </si>
  <si>
    <t>10.3189/172756506781828692</t>
  </si>
  <si>
    <t>Bronze, Green Submitted</t>
  </si>
  <si>
    <t>WOS:000240609000006</t>
  </si>
  <si>
    <t>Breuer, B; Lange, MA; Blindow, N</t>
  </si>
  <si>
    <t>Breuer, Birgit; Lange, M. A.; Blindow, N.</t>
  </si>
  <si>
    <t>Sensitivity studies on model modifications to assess the dynamics of a temperate ice cap, such as that on King George Island, Antarctica</t>
  </si>
  <si>
    <t>FLOW; VELOCITY; BALANCE; SHELF</t>
  </si>
  <si>
    <t>Numerical model studies describing the dynamics of ice sheets are usually aimed at cold-ice regions of mainland Antarctica. Contrary to these ice bodies with temperatures well below the pressure-melting point at the ice surface, the ice caps on sub-Antarctic islands, such as King George island, can be considered as polythermal or even temperate. This implies that they may contain non-negligible amounts of water percolating through the ice matrix. We present three different modifications to a three-dimensional, thermomechanically coupled, higher-order model previously applied to cold-ice regions. We discuss the effect of these modifications on the ice dynamics obtained for diagnostic model runs. The modifications comprise changes to the enhancement factor in Glen's flow law, the choice of negligible or non-negligible water content and the choice of a threshold altitude below which the ice surface is set to pressure-melting point conditions. All modifications lead to non-linear changes in the resulting horizontal flow velocities. The changes in velocity amplitudes obtained with these modifications compared to simulations without any modification range between 64% and similar to 400%. This implies that they should be considered in time-dependent simulations of temperate-ice dynamics.</t>
  </si>
  <si>
    <t>Univ Munster, Inst Geophys, D-48149 Munster, Germany</t>
  </si>
  <si>
    <t>University of Munster</t>
  </si>
  <si>
    <t>Breuer, B (corresponding author), Univ Munster, Inst Geophys, Corrensstr 24, D-48149 Munster, Germany.</t>
  </si>
  <si>
    <t>b.breuer@uni-muenster.de</t>
  </si>
  <si>
    <t>10.3189/172756506781828683</t>
  </si>
  <si>
    <t>WOS:000240609000007</t>
  </si>
  <si>
    <t>Brock, BW; Willis, IC; Shaw, MJ</t>
  </si>
  <si>
    <t>Brock, Ben W.; Willis, Ian C.; Shaw, Martin J.</t>
  </si>
  <si>
    <t>Measurement and parameterization of aerodynamic roughness length variations at Haut Glacier d'Arolla, Switzerland</t>
  </si>
  <si>
    <t>SURFACE-ENERGY-BALANCE; SENSIBLE-HEAT-FLUX; ICE SURFACE; MIDLATITUDE GLACIER; SCALAR ROUGHNESS; ANTARCTIC SNOW; KATABATIC FLOW; MELTING ICE; BLUE-ICE; TURBULENCE</t>
  </si>
  <si>
    <t>Spatial and temporal variations in aerodynamic roughness length (z(o)) on Haut Glacier d'Arolla, Switzerland, during the 1993 and 1994 ablation seasons are described, based on measurements of surface microtopography. The validity of the microtopographic z(o) measurements is established through comparison with independent vertical wind profile z(o) measurements over melting snow, slush and ice. The z(o) variations are explained through correlation and regression analyses, using independent measurements of meteorological and surface variables, and parameterizations are developed to calculate z(o) variations for use in surface energy-balance melt models. Several independent variables successfully explain snow z(o) variation through their correlation with increasing surface roughness, caused by ablation hollow formation, during snowmelt. Non-linear parameterizations based on either accumulated melt or accumulated daily maximum temperatures since the most recent snowfall explain over 80% of snow z(o) variation. The z(o) following a fresh snowfall on an ice surface is parameterized based on relationships with the underlying ice z(o), snow depth and accumulated daily maximum temperatures. None of the independent variables were able to successfully explain ice z(o) variation. Although further comparative studies are needed, the results lend strong support to the microtopographic technique of measuring z(o) over melting glacier surfaces.</t>
  </si>
  <si>
    <t>Univ Dundee, Dept Geog, Dundee DD1 4HN, Scotland; Univ Cambridge, Scott Polar Res Inst, Cambridge CB2 1ER, England; Univ Alberta, Dept Earth &amp; Atmospher Sci, Edmonton, AB T6G 2E3, Canada</t>
  </si>
  <si>
    <t>University of Dundee; University of Cambridge; University of Alberta</t>
  </si>
  <si>
    <t>Brock, BW (corresponding author), Univ Dundee, Dept Geog, Dundee DD1 4HN, Scotland.</t>
  </si>
  <si>
    <t>b.w.brock@dundee.ac.uk</t>
  </si>
  <si>
    <t>Brock, Benjamin William/D-9976-2016</t>
  </si>
  <si>
    <t>Brock, Benjamin William/0000-0002-5377-0776; Willis, Ian/0000-0002-0750-7088</t>
  </si>
  <si>
    <t>10.3189/172756506781828746</t>
  </si>
  <si>
    <t>WOS:000240609000012</t>
  </si>
  <si>
    <t>Jenkins, A; Corr, HFJ; Nicholls, KW; Stewart, CL; Doake, CSM</t>
  </si>
  <si>
    <t>Jenkins, Adrian; Corr, Hugh F. J.; Nicholls, Keith W.; Stewart, Craig L.; Doake, Christopher S. M.</t>
  </si>
  <si>
    <t>Interactions between ice and ocean observed with phase-sensitive radar near an Antarctic ice-shelf grounding line</t>
  </si>
  <si>
    <t>CIRCULATION BENEATH; STREAM; SHEET; WATER; MODEL; THICKNESS; RETREAT; FLEXURE</t>
  </si>
  <si>
    <t>Precise measurements of basal melting have been made at a series of 14 sites lying within a few kilometres of the grounding line of the Ronne Ice Shelf, Antarctica, where the ice thickness ranges from 1570 to 1940 m. The study was conducted over the course of 1 year and included a detailed survey of the horizontal deformation, as well as phase-sensitive radar measurements of the vertical displacement of both internal reflecting horizons and the ice-shelf base. Results from the surface survey show that the long-term viscous strain rate is modulated at tidal frequencies by (probably) elastic strains of order 10(-5) per metre of tidal elevation. The radar measurements show a similar modulation of the long-term thinning/thickening of the ice shelf, with thickness oscillations up to a few centimetres in range. The long-term trends in ice thickness determined at points moving with the ice-shelf flow are consistent with a steady-state thickness profile. Vertical strain rates within the ice shelf were determined from the relative motion of internal reflectors. At two sites the observations were sufficient to discern the effect of tidal bending about a neutral surface 60% of the way down the ice column. Coincident measurements of horizontal and vertical strain imply a Poisson's ratio of 0.5, and this combined with the asymmetric bending gives rise to the observed oscillations in thickness. At a number of sites the longterm viscous strain rates were found to be a linear function of depth. For an ice shelf this is an unexpected result. It can be attributed to the presence of significant vertical shear stresses set up close to the grounding line where the ice is still adjusting to flotation. Additional vertical motion arising from firn compaction was observed within the upper layers of the ice shelf. The additional motion was consistent with the assumption that firn density is a function only of the time since burial by steady surface accumulation. With both spatial and temporal fluctuations in the vertical strain rate accurately quantified it was possible to estimate the vertical motion of the ice-shelf base in response. Differences between the calculated and observed motion of the basal reflector arise because of basal melting. Derived melt rates at the 14 sites ranged from -0.11 +/- 0.31 to 2.51 +/- 0.10 m a(-1), with a mean of 0.85 m a(-1) and a standard deviation of 0.69 m a(-1), and showed no signs of significant sub-annual temporal variability. There was no obvious global correlation with either ice thickness or distance from the grounding line, although melt rates tended to decrease downstream along each of the flowlines studied. Previous estimates of basal melting in this region have been obtained indirectly from an assumption that the ice shelf is locally in equilibrium and have included a broad range of values. Only those at the lower end of the published range are consistent with the directly measured melt rates reported here.</t>
  </si>
  <si>
    <t>Jenkins, A (corresponding author), British Antarctic Survey, NERC, Madingley Rd, Cambridge CB3 0ET, England.</t>
  </si>
  <si>
    <t>ajen@bas.ac.uk</t>
  </si>
  <si>
    <t>Jenkins, Adrian/IUN-2406-2023; N, Keith/E-9126-2010; Corr, Hugh/C-5398-2011; Stewart, Craig/HTL-6429-2023</t>
  </si>
  <si>
    <t>Stewart, Craig/0000-0002-3906-1594; Jenkins, Adrian/0000-0002-9117-0616</t>
  </si>
  <si>
    <t>10.3189/172756506781828502</t>
  </si>
  <si>
    <t>123IC</t>
  </si>
  <si>
    <t>WOS:000243288600001</t>
  </si>
  <si>
    <t>Fountain, AG; Nylen, TH; MacClune, KL; Dana, GL</t>
  </si>
  <si>
    <t>Fountain, Andrew G.; Nylen, Thomas H.; MacClune, Karen L.; Dana, Gayle L.</t>
  </si>
  <si>
    <t>Glacier mass balances (1993-2001), Taylor Valley, McMurdo Dry Valleys, Antarctica</t>
  </si>
  <si>
    <t>ICE-SHEET; CLIMATE-CHANGE; VICTORIA LAND; PENINSULA</t>
  </si>
  <si>
    <t>Mass balances were measured on four glaciers in Taylor Valley, Antarctica, from 1993 to 2001. We used a piecewise linear regression, which provided an objective assessment of error, to estimate the mass balance with elevation. Missing measurements were estimated from linear regressions between points and showed a significant improvement over other methods. Unlike temperate glaciers the accumulation zone of these polar glaciers accumulates mass in summer and winter and the ablation zone loses mass in both seasons. A strong spatial trend of smaller mass-balance values with distance inland (r(2) = 0.80) reflects a climatic gradient to warmer air temperatures, faster wind speeds and less precipitation. Annual and seasonal mass-balance values range only several tens of millimeters in magnitude and no temporal trend is evident. The glaciers of Taylor Valley, and probably the entire McMurdo Dry Valleys, are in equilibrium with the current climate, and contrast with glacier trends elsewhere on the Antarctic Peninsula and in temperate latitudes.</t>
  </si>
  <si>
    <t>Portland State Univ, Dept Geol, Portland, OR 97207 USA; Portland State Univ, Dept Geog, Portland, OR 97207 USA; Univ Colorado, Inst Arctic &amp; Alpine Res, Boulder, CO 80309 USA; Univ Nevada, Desert Res Inst, Reno, NV 89512 USA</t>
  </si>
  <si>
    <t>Portland State University; Portland State University; University of Colorado System; University of Colorado Boulder; Nevada System of Higher Education (NSHE); Desert Research Institute NSHE; University of Nevada Reno</t>
  </si>
  <si>
    <t>Fountain, AG (corresponding author), Portland State Univ, Dept Geol, POB 751, Portland, OR 97207 USA.</t>
  </si>
  <si>
    <t>andrew@pdx.edu</t>
  </si>
  <si>
    <t>Nylen, Thomas/0000-0001-9579-8702</t>
  </si>
  <si>
    <t>Directorate For Geosciences; Office of Polar Programs (OPP) [1041742] Funding Source: National Science Foundation; Directorate For Geosciences; Office of Polar Programs (OPP) [0832755] Funding Source: National Science Foundation</t>
  </si>
  <si>
    <t>Directorate For Geosciences; Office of Polar Programs (OPP)(National Science Foundation (NSF)NSF - Directorate for Geosciences (GEO)); Directorate For Geosciences; Office of Polar Programs (OPP)(National Science Foundation (NSF)NSF - Directorate for Geosciences (GEO))</t>
  </si>
  <si>
    <t>INT GLACIOL SOC</t>
  </si>
  <si>
    <t>LENSFIELD RD, CAMBRIDGE CB2 1ER, ENGLAND</t>
  </si>
  <si>
    <t>10.3189/172756506781828511</t>
  </si>
  <si>
    <t>WOS:000243288600013</t>
  </si>
  <si>
    <t>Rippin, DM; Bamber, JL; Siegert, MJ; Vaughan, DG; Corr, HFJ</t>
  </si>
  <si>
    <t>Rippin, D. M.; Bamber, J. L.; Siegert, M. J.; Vaughan, D. G.; Corr, H. F. J.</t>
  </si>
  <si>
    <t>Basal conditions beneath enhanced-flow tributaries of Slessor Glacier, East Antarctica</t>
  </si>
  <si>
    <t>DRONNING MAUD LAND; ICE STREAM; BED TOPOGRAPHY; THICKNESS; SHEET; GEOMETRY; DRAINAGE; BALANCE; SURFACE; SYSTEM</t>
  </si>
  <si>
    <t>Radio-echo sounding data are used to investigate bed roughness beneath the three enhanced-flow tributaries of Slessor Glacier, East Antarctica. Slow-moving inter-tributary areas are found to have rough beds, while the bed of the northernmost tributary is relatively smooth. A reconstruction of potential subglacial drainage routing indicates that water would be routed down this tributary, and investigations of basal topography following isostatic recovery reveal that the bed would have been below sea level in preglacial times, so marine sediments may have accumulated here. Together, these factors are further support for the dominance of basal motion in this tributary, reported elsewhere. Conversely, although the other two Slessor tributaries may have water routed beneath them, they would not have been below sea level before the growth of the ice sheet, so cannot be underlain by marine sediments. They are also found to be rough, and, within the range of uncertainties, it is likely that basal motion does not play a major role in the flow of these tributaries. Perhaps the most interesting area, however, is a deep trough where flow rates are currently low but the bed is as smooth as the northern Slessor trough. It is proposed that, although ice deformation currently dominates in this trough, basal motion may have occurred in the past, when the ice was thicker.</t>
  </si>
  <si>
    <t>Univ Hull, Dept Geog, Kingston Upon Hull HU6 7RX, N Humberside, England; Univ Bristol, Bristol Glaciol Ctr, Sch Geog Sci, Bristol BS8 1SS, Avon, England; British Antarctic Survey, NERC, Cambridge CB3 0ET, England</t>
  </si>
  <si>
    <t>University of Hull; University of Bristol; UK Research &amp; Innovation (UKRI); Natural Environment Research Council (NERC); NERC British Antarctic Survey</t>
  </si>
  <si>
    <t>Rippin, DM (corresponding author), Univ Hull, Dept Geog, Cottingham Rd, Kingston Upon Hull HU6 7RX, N Humberside, England.</t>
  </si>
  <si>
    <t>D.Rippin@hull.ac.uk</t>
  </si>
  <si>
    <t>Rippin, David Manish/AAW-5063-2021; Siegert, Martin J/A-3826-2008; Corr, Hugh/C-5398-2011; Vaughan, David/C-8348-2011; Bamber, Jonathan/C-7608-2011; Siegert, Martin/M-9939-2019</t>
  </si>
  <si>
    <t>Rippin, David Manish/0000-0001-7757-9880; Siegert, Martin J/0000-0002-0090-4806; Bamber, Jonathan/0000-0002-2280-2819; Siegert, Martin/0000-0002-0090-4806; Vaughan, David/0000-0002-9065-0570</t>
  </si>
  <si>
    <t>NERC [bas010018] Funding Source: UKRI; Natural Environment Research Council [bas010018] Funding Source: researchfish</t>
  </si>
  <si>
    <t>10.3189/172756506781828467</t>
  </si>
  <si>
    <t>139ZQ</t>
  </si>
  <si>
    <t>WOS:000244472100001</t>
  </si>
  <si>
    <t>Hawley, RL; Morris, EM</t>
  </si>
  <si>
    <t>Hawley, Robert L.; Morris, Elizabeth M.</t>
  </si>
  <si>
    <t>Borehole optical stratigraphy and neutron-scattering density measurements at Summit, Greenland</t>
  </si>
  <si>
    <t>GISP2 ICE CORE; FIRN DENSIFICATION; ALBEDO; SNOW</t>
  </si>
  <si>
    <t>We have made side-by-side measurements in several boreholes at Summit, Greenland, using borehole optical stratigraphy (BOS) and neutron-scattering density logging techniques. The BOS logs show strong positive correlation at shallow depths with neutron-scattering logs taken in the same borehole. This supports the hypothesis that ROS detects changes in density. The positive correlation between returned brightness and density decreases with depth and finally becomes negative. We conclude this inversion of correlation is related to changes in densification regime from grain-boundary sliding to pressure sintering.</t>
  </si>
  <si>
    <t>Univ Washington, Dept Earth &amp; Space Sci, Seattle, WA 98195 USA; British Antarctic Survey, NERC, Cambridge CB3 0ET, England</t>
  </si>
  <si>
    <t>University of Washington; University of Washington Seattle; UK Research &amp; Innovation (UKRI); Natural Environment Research Council (NERC); NERC British Antarctic Survey</t>
  </si>
  <si>
    <t>Hawley, RL (corresponding author), Univ Cambridge, Scott Polar Res Inst, Lensfield Rd, Cambridge CB2 1ER, England.</t>
  </si>
  <si>
    <t>rlh45@cam.ac.uk</t>
  </si>
  <si>
    <t>Hawley, Robert/KHY-1082-2024; Morris, Elizabeth M/A-6081-2012</t>
  </si>
  <si>
    <t>NERC [bas010013] Funding Source: UKRI; Natural Environment Research Council [bas010013] Funding Source: researchfish</t>
  </si>
  <si>
    <t>10.3189/172756506781828368</t>
  </si>
  <si>
    <t>WOS:000244472100002</t>
  </si>
  <si>
    <t>Barnes, PRF; Wolff, EW; Mallard, DC</t>
  </si>
  <si>
    <t>Barnes, Piers R. F.; Wolff, Eric W.; Mallard, David C.</t>
  </si>
  <si>
    <t>Etching channels and grain-boundary grooves on ice surfaces in the scanning electron microscope</t>
  </si>
  <si>
    <t>Letter</t>
  </si>
  <si>
    <t>POLAR ICE; IMPURITIES</t>
  </si>
  <si>
    <t>British Antarctic Survey, NERC, Cambridge CB3 0ET, England; Univ Bristol, Dept Earth Sci, Bristol BS8 1RJ, Avon, England</t>
  </si>
  <si>
    <t>UK Research &amp; Innovation (UKRI); Natural Environment Research Council (NERC); NERC British Antarctic Survey; University of Bristol</t>
  </si>
  <si>
    <t>Barnes, PRF (corresponding author), CSIRO Ind Phys, POB 218, Sydney, NSW 2070, Australia.</t>
  </si>
  <si>
    <t>piers.barnes@csiro.au</t>
  </si>
  <si>
    <t>Wolff, Eric W/D-7925-2014; Barnes, Piers/F-1558-2010</t>
  </si>
  <si>
    <t>Wolff, Eric W/0000-0002-5914-8531; Barnes, Piers/0000-0002-7537-8759</t>
  </si>
  <si>
    <t>10.3189/172756506781828331</t>
  </si>
  <si>
    <t>WOS:000244472100015</t>
  </si>
  <si>
    <t>Kaminuma, K; Kanao, M</t>
  </si>
  <si>
    <t>Kaminuma, Katsutada; Kanao, Masaki</t>
  </si>
  <si>
    <t>Seismicity in the Antarctic and surrounding ocean</t>
  </si>
  <si>
    <t>JOURNAL OF INDIAN GEOPHYSICAL UNION</t>
  </si>
  <si>
    <t>Seismicity in the Antarctic and surrounding ocean is evaluated based on the data compiled by the International Seismological Centre for the period 1964 - 2002. The Antarctic continent and surrounding ocean were believed to be one of the aseismic regions of the Earth for many decades. However, after the development of Global Seismic Networks and local seismic arrays, a number of tectonic earthquakes have been detected in and around the Antarctic Continent. Antarctica and the surrounding ocean has been divided into a total of 13 seismic areas, 3 for the continental region and another 10 for the oceanic region. Wilks Land is the most active area in the Antarctic Continent; where several small earthquakes were detected and located. In the ocean surrounding Antarctica, the seismic activity in 120 degrees-60 degrees W sector is three times lager than the other oceanic areas. This is probably due to stress concentration towards the Easter Island Triple Junction among Antarctic Plate, Pacific Plate and Nazuca micro-Plate. Three volcanic areas, namely the Deception Island, Mt. Erebus and Mt. Melbourn, are seismically active.</t>
  </si>
  <si>
    <t>[Kaminuma, Katsutada] Natl Inst Polar Res, 9-10,Kaga-1, Tokyo 1738515, Japan; [Kanao, Masaki] Natl Inst Polar Res, Tokyo 1738515, Japan</t>
  </si>
  <si>
    <t>Research Organization of Information &amp; Systems (ROIS); National Institute of Polar Research (NIPR) - Japan; Research Organization of Information &amp; Systems (ROIS); National Institute of Polar Research (NIPR) - Japan</t>
  </si>
  <si>
    <t>Kaminuma, K (corresponding author), Natl Inst Polar Res, 9-10,Kaga-1, Tokyo 1738515, Japan.</t>
  </si>
  <si>
    <t>INDIAN GEOPHYSICAL UNION-IGU</t>
  </si>
  <si>
    <t>HYDERABAD</t>
  </si>
  <si>
    <t>NGRI, UPPAL RD, HYDERABAD, 500 007, INDIA</t>
  </si>
  <si>
    <t>0257-7968</t>
  </si>
  <si>
    <t>J INDIAN GEOPHYS UNI</t>
  </si>
  <si>
    <t>J. Indian Geophys. Union</t>
  </si>
  <si>
    <t>V8G7G</t>
  </si>
  <si>
    <t>WOS:000421620300002</t>
  </si>
  <si>
    <t>Sinclair, BJ; Terblanche, JS; Scott, MB; Blatch, GL; Klok, CJ; Chown, SL</t>
  </si>
  <si>
    <t>Environmental physiology of three species of Collembola at Cape Hallett, North Victoria Land, Antarctica</t>
  </si>
  <si>
    <t>JOURNAL OF INSECT PHYSIOLOGY</t>
  </si>
  <si>
    <t>cold tolerance; supercooling point; critical thermal limits; desiccation; osmoregulation; osmolality; stress protein; microclimate</t>
  </si>
  <si>
    <t>WATER-VAPOR ABSORPTION; THERMAL HYSTERESIS; COLD-HARDINESS; CRYPTOPYGUS-ANTARCTICUS; ANTIFREEZE PROTEINS; SUPERCOOLING POINTS; LOW-TEMPERATURES; TOLERANCE; ARTHROPODS; INSECTS</t>
  </si>
  <si>
    <t>The environmental physiology of three speciesof Collembola: Cryptopygus cisantarcticus, Isotoma klovstadi (Isotomidae) and Friesea grisea (Neanuridae) was investigated from November 2002 to February 2003 at Cape Hallett, North Victoria Land, Antarctica. All three species were freeze avoiding, and while supercooling points were variable on seasonal and daily scales in I klovstadi and C. cisantarcticus, they remained largely static in F. grisea. LT50 (temperature where 50% of animals are killed by cold) was -13.6, -19.1 and -19.8 degrees C for C. cisantarcticus, I klovstadi and F. grisea, respectively. Upper lethal temperature was 34, 34 and 38 degrees C for C cisantarcticus, I. klovstadi and F. grisea. Critical thermal minimum onset (the temperature where individuals entered chill coma) was ca. -7, -12 and -8 degrees C for C. cisantarcticus, I. klovstadi and F. grisea, and 25% of I klovstadi individuals froze without entering chill coma. Critical thermal maximum (the onset of spasms at high temperature) was 30, 33 and 34 degrees C for C cisantarcticus, I. klovstadi and F. grisea. Haemolymph osmolality was approximately 720 mOsm for C cisantareticus and 680 mOsm for I. klovstadi, and both species showed a moderate degree of thermal hysteresis, which persisted through the season. Desiccation resistance was measured as survival above silica gel, and the species survived in the rank order of C cisantareticus &lt;&lt; I. klovstadi = F grisea. Desiccation resulted in an increase in haemolymph osmolality in I. klovstadi, and water was quickly regained by desiccation-stressed individuals that had access to liquid water, but not by individuals placed in high humidity, indicating that this species is unable to absorb atmospheric water vapour. SDS-PAGE did not suggest any strong patterns in protein synthesis either seasonally or in response to temperature or desiccation stress. Microclimate temperatures were measured at sites representative of collection sites for the three species. Microclimate temperatures were highly variable on a diurnal and weekly scale (the latter relating to weather patterns), but showed little overall variation across the summer season. Potentially lethal high and low temperatures were recorded at several sites, and it is suggested that these temperature extremes account for the observed restriction of the less-tolerant C cisantareticus at Cape Hallett. Together, these data significantly increase the current knowledge of the environmental physiology of Antarctic Collembola. (c) 2005 Elsevier Ltd. All rights reserved.</t>
  </si>
  <si>
    <t>Univ Stellenbosch, Spatial Physiol &amp; Conservat Ecol, Dept Bot &amp; Zool, ZA-7600 Stellenbosch, South Africa; Univ Otago, Dept Bot, Dunedin, New Zealand; Rhodes Univ, Dept Biochem Microbiol &amp; Biotechnol, ZA-6140 Grahamstown, South Africa; Univ Stellenbosch, Dept Bot &amp; Zool, Ctr Invas Biol, ZA-7600 Stellenbosch, South Africa</t>
  </si>
  <si>
    <t>Stellenbosch University; University of Otago; Rhodes University; Stellenbosch University</t>
  </si>
  <si>
    <t>Univ Nevada, Dept Biol Sci, Las Vegas, NV 89154 USA.</t>
  </si>
  <si>
    <t>celatoblatta@yahoo.co.uk</t>
  </si>
  <si>
    <t>Chown, Steven L/H-3347-2011; Sinclair, Brent J/C-6133-2012; Chown, Steven/ABD-7646-2021; Terblanche, John/AAB-4457-2020; Blatch, Gregory Lloyd/Q-5900-2019</t>
  </si>
  <si>
    <t>Blatch, Gregory Lloyd/0000-0003-0778-8577; Scott, Matthew/0000-0002-9629-1521; Sinclair, Brent/0000-0002-8191-9910; Terblanche, John/0000-0001-9665-9405</t>
  </si>
  <si>
    <t>0022-1910</t>
  </si>
  <si>
    <t>1879-1611</t>
  </si>
  <si>
    <t>J INSECT PHYSIOL</t>
  </si>
  <si>
    <t>J. Insect Physiol.</t>
  </si>
  <si>
    <t>10.1016/j.jinsphys.2005.09.002</t>
  </si>
  <si>
    <t>Entomology; Physiology; Zoology</t>
  </si>
  <si>
    <t>011CN</t>
  </si>
  <si>
    <t>WOS:000235245400004</t>
  </si>
  <si>
    <t>Lannoo, MJ; Eastman, JT</t>
  </si>
  <si>
    <t>Brain and sensory organ morphology in Antarctic eelpouts (Perciformes:Zoarcidae:Lycodinae)</t>
  </si>
  <si>
    <t>JOURNAL OF MORPHOLOGY</t>
  </si>
  <si>
    <t>brain histology; olfactory system; cephalic lateral line system; taste buds; retinal histology</t>
  </si>
  <si>
    <t>NOTOTHENIOID FISHES; CONTINENTAL-SHELF; RETINAL STRUCTURE; EVOLUTION; TELEOSTEI; HISTOLOGY; ANATOMY; SEA; DIVERSIFICATION; PATTERNS</t>
  </si>
  <si>
    <t>Eelpouts of the family Zoarcidae comprise a monophyletic group of marine fishes with a worldwide distribution. Centers of high zoarcid diversity occur in the North Atlantic and North Pacific, with important radiations into the Arctic, along southern South America, and into the Southern Ocean around Antarctica. Along with snailfishes (Liparidae), zoarcids form an important component of the non-notothenioid fauna in the subzero shelf waters of Antarctica. We document the anatomy and histology of the brains, cranial nerves, olfactory apparatus, cephalic lateral lines, taste buds, and retinas of three Antarctic zoarcid species, living at depths of 310-939 in, representing three of the nine genera from this region. The primary emphasis is on Ophthalmolycus amberensis, and we provide a detailed drawing of the brain and cranial nerves of this species. Although this brain reflects general perciform neural morphology, it exhibits a reduction of the (optic) tecta and the eminentia granulares and crista cerebellares of the lateral line system. Interspecific differences among the three species are slight. The olfactory rosette consists of three to four lamellae and the nasal sac, contrary to the claim of Fanta et al. ([2001] Antarct Rec, Natl Inst Polar Res, Tokyo 45:27-42), is not in communication with the cephalic lateral line system. Primary olfactory neurons are abundant and converge on branches of the olfactory nerve. Numerous taste buds are located in the lips. All three species lack an ocular choroid rete and have relatively thin retinas with a low cell density and a single bank of rods as the only type of photoreceptor. Neural diversification among Antarctic zoarcids has not involved the evolution of sensory specialists; brain and sensory organ morphologies do not approach the condition seen in primary deep-sea fishes, or even that of some sympatric non-perciform secondary deep-sea fishes, including liparids and muraenolepidids (eel cods). There may be phylogenetic constraints on brain morphology in perciforms such that we do not see extreme specialization in sensory and neural systems for deep habitats. We suggest that the brains and sensory organs of Antarctic zoarcids reflect habitation of 500-2,000-m depths and likely reflect morphologies seen in zoarcids living on continental slopes elsewhere in the world. This balance among the sensory modalities makes zoarcids relatively generalized among secondary deep-sea fishes and may be one of the reasons this opportunistic and adaptable group has been successful in colonizing a variety of emergent and ephemeral habitats. J. Morphol. 267:115-127, 2006. (c) 2005 Wiley-Liss, Inc.</t>
  </si>
  <si>
    <t>Ball State Univ, Munice Ctr Med Educ, Indiana Univ, Sch Med, Muncie, IN 47306 USA; Ohio Univ, Coll Osteopath Med, Dept Biomed Sci, Athens, OH 45701 USA</t>
  </si>
  <si>
    <t>Ball State University; Indiana University Health; IU Health Ball Memorial Hospital; University System of Ohio; Ohio University</t>
  </si>
  <si>
    <t>Ball State Univ, Munice Ctr Med Educ, Indiana Univ, Sch Med, Muncie, IN 47306 USA.</t>
  </si>
  <si>
    <t>mlannoo@bsu.edu</t>
  </si>
  <si>
    <t>Eastman, Joseph T/A-9786-2008; Eastman, Joseph T./O-6150-2019</t>
  </si>
  <si>
    <t>Eastman, Joseph T./0000-0003-3868-261X</t>
  </si>
  <si>
    <t>NINDS NIH HHS [NS37600-01] Funding Source: Medline</t>
  </si>
  <si>
    <t>NINDS NIH HHS(United States Department of Health &amp; Human ServicesNational Institutes of Health (NIH) - USANIH National Institute of Neurological Disorders &amp; Stroke (NINDS))</t>
  </si>
  <si>
    <t>0362-2525</t>
  </si>
  <si>
    <t>1097-4687</t>
  </si>
  <si>
    <t>J MORPHOL</t>
  </si>
  <si>
    <t>J. Morphol.</t>
  </si>
  <si>
    <t>10.1002/jmor.10391</t>
  </si>
  <si>
    <t>Anatomy &amp; Morphology</t>
  </si>
  <si>
    <t>996EI</t>
  </si>
  <si>
    <t>WOS:000234156800008</t>
  </si>
  <si>
    <t>Barnich, R; Fiege, D; Micaletto, G; Gambi, MC</t>
  </si>
  <si>
    <t>Redescription of Harmothoe spinosa Kinberg, 1856 (Polychaeta: Polynoidae) and related species from Subantarctic and Antarctic waters, with the erection of a new genus</t>
  </si>
  <si>
    <t>JOURNAL OF NATURAL HISTORY</t>
  </si>
  <si>
    <t>Antarctinoe gen. nov.; Harmothoe spinosa; Polynoidae; Southern Ocean; Weddell Sea</t>
  </si>
  <si>
    <t>During the expeditions ANT XIII/3 (1996) and ANT XV/3 (1998) to the Weddell Sea, a number of polynoid specimens resembling Harmothoe spinosa Kinberg, 1856 were collected. Due to contradictory information in the literature regarding the differentiating characters of H. spinosa and other related species, the type material of the former and of 27 nominal, similar species had to be examined in order to allow the correct identification of the specimens from the Weddell Sea. As a result of this study the validity of H. spinosa is confirmed, but this species has not been recorded in the Antarctic or Subantarctic region. Of the 27 similar species only nine are considered valid and redescribed herein, i.e. H. exanthema (Grube, 1858), H. fuligineum* (Baird, 1865), H. fullo* (Grube, 1878), H. antarctica* (McIntosh, 1885), H. magellanica* (McIntosh, 1885), H. crosetensis (McIntosh, 1885), H. acuminata* Willey, 1902, Antarctinoe gen. nov. ferox* (Baird, 1865), and A. spicoides* (Hartmann-Schroder, 1986), with Antarctinoe being a new genus established herein. Species marked by an asterisk were also present in the collection of polynoids from the Weddell Sea. All records and geographical ranges given in the literature for H. spinosa and the other species not confirmed herein remain doubtful.</t>
  </si>
  <si>
    <t>Forsch Inst &amp; Nat Museum Senckenberg, D-60325 Frankfurt, Germany; Lab Ecol Benthos, Staz Zool A Dohrn, Naples, Italy</t>
  </si>
  <si>
    <t>Senckenberg Gesellschaft fur Naturforschung (SGN); Stazione Zoologica Anton Dohrn di Napoli</t>
  </si>
  <si>
    <t>Forsch Inst &amp; Nat Museum Senckenberg, Senckenberganlage 25, D-60325 Frankfurt, Germany.</t>
  </si>
  <si>
    <t>ruth.barnich@senckenberg.de</t>
  </si>
  <si>
    <t>Gambi, Maria Cristina/AFO-0958-2022; Gambi, Maria Cristina/L-8246-2014</t>
  </si>
  <si>
    <t>Gambi, Maria Cristina/0000-0002-0168-776X</t>
  </si>
  <si>
    <t>0022-2933</t>
  </si>
  <si>
    <t>1464-5262</t>
  </si>
  <si>
    <t>J NAT HIST</t>
  </si>
  <si>
    <t>J. Nat. Hist.</t>
  </si>
  <si>
    <t>10.1080/00222930500445044</t>
  </si>
  <si>
    <t>Biodiversity Conservation; Ecology; Zoology</t>
  </si>
  <si>
    <t>Biodiversity &amp; Conservation; Environmental Sciences &amp; Ecology; Zoology</t>
  </si>
  <si>
    <t>036VU</t>
  </si>
  <si>
    <t>WOS:000237105100004</t>
  </si>
  <si>
    <t>Ruta, C; Pleijel, F</t>
  </si>
  <si>
    <t>Ruta, Christine; Pleijel, Fredrik</t>
  </si>
  <si>
    <t>A revision of Syllidia (Psamathini, Hesionidae, Polychaeta)</t>
  </si>
  <si>
    <t>Hesionidae; new species; Polychaeta; Syllidia; Syllidia hongkongensis; taxonomy</t>
  </si>
  <si>
    <t>Syllidia Quatrefages, 1866 (Psamathini, Hesionidae, Polychaeta) is revised based on examination of all extant types, other museum specimens, and a large number of newly collected specimens. Syllidia hongkongensis, new species, is described from Hong Kong and Hawaii, and Syllidia armata Quatrefages, 1866 from western France is redescribed. Syllidia hongkongensis is unique within the genus in having neuropodial lobes and neurochaetae from segment 3, rather than from segment 4. The generic names Magalia Marion and Bobretzky in Marion 1874 and Pseudosyllidia Czerniavsky, 1882 are treated as junior synonyms of Syllidia, and the specific names Magalia assimilis Pryde, 1914, M. capensis McIntosh, 1924, and Psamathe britannica Chamberlin, 1919 as junior synonyms of S. armata; the latter two represent new synonymies. A lectotype is designated for P. britannica. Syllidia inermis (Ehlers, 1912) from the Antarctic is treated as incertae sedis; it belongs within Psamathini but is not a member of Syllidia. Syllidia liniata Hartmann-Schroder, 1962 from Peru appears close to S. armata, but is regarded as a nomen dubium and requires recollection of specimens and redescription.</t>
  </si>
  <si>
    <t>Museum Natl Hist Nat, CNRS, Dept Systemat &amp; Evolut, UMR 7138, F-75231 Paris, France; Tjarno Marine Biol Lab, Dept Marine Ecol, Stromstad, Sweden</t>
  </si>
  <si>
    <t>Centre National de la Recherche Scientifique (CNRS); CNRS - National Institute for Biology (INSB); Sorbonne Universite; Museum National d'Histoire Naturelle (MNHN)</t>
  </si>
  <si>
    <t>Pleijel, F (corresponding author), Univ Gothenburg, Tjamo Marine Biol Lab, SE-45296 Stromstad, Sweden.</t>
  </si>
  <si>
    <t>fredrik.pleijel@tmbl.gu.se</t>
  </si>
  <si>
    <t>Ruta, Christine/A-8909-2019</t>
  </si>
  <si>
    <t>Ruta, Christine/0000-0001-6412-6751</t>
  </si>
  <si>
    <t>9-10</t>
  </si>
  <si>
    <t>10.1080/00222930600727291</t>
  </si>
  <si>
    <t>066NR</t>
  </si>
  <si>
    <t>WOS:000239237100002</t>
  </si>
  <si>
    <t>Lawson, GL; Wiebe, PH; Ashjian, CJ; Chu, DZ; Stanton, TK</t>
  </si>
  <si>
    <t>Improved parameterization of Antarctic krill target strength models</t>
  </si>
  <si>
    <t>JOURNAL OF THE ACOUSTICAL SOCIETY OF AMERICA</t>
  </si>
  <si>
    <t>EUPHAUSIA-SUPERBA; ACOUSTIC SCATTERING; SOUND-SCATTERING; TAXONOMIC COMPOSITION; SWIMMING BEHAVIOR; SOUTHERN-OCEAN; 120 KHZ; ZOOPLANKTON; ORIENTATION; ABUNDANCE</t>
  </si>
  <si>
    <t>There are historical discrepancies between empirical observations of Antarctic krill target strength and predictions using theoretical scattering models. These differences are addressed through improved understanding of key model parameters. The scattering process was modeled using the distorted-wave Born approximation, representing the shape of the animal as a bent and tapered cylinder. Recently published length-based regressions were used to constrain the sound speed and density contrasts between the animal and the surrounding seawater, rather than the earlier approach of using single values for all lengths. To constrain the parameter governing the orientation of the animal relative to the incident acoustic wave, direct measurements of the orientation of krill in situ were made with a video plankton recorder. In contrast to previous indirect and aquarium-based observations, krill were observed to orient themselves mostly horizontally. Averaging predicted scattering over the measured distribution of orientations resulted in predictions of target strength consistent with in situ measurements of target strength of large krill (mean length 40-43 mm) at four frequencies (43-420 kHz), but smaller than expected under the semi-empirical model traditionally used to estimate krill target strength. (c) 2006 Acoustical Society of America.</t>
  </si>
  <si>
    <t>Woods Hole Oceanog Inst, Dept Biol, Woods Hole, MA 02543 USA; Woods Hole Oceanog Inst, Dept Appl Ocean Phys &amp; Engn, Woods Hole, MA 02543 USA</t>
  </si>
  <si>
    <t>Woods Hole Oceanographic Institution; Woods Hole Oceanographic Institution</t>
  </si>
  <si>
    <t>Lawson, GL (corresponding author), Woods Hole Oceanog Inst, Dept Biol, Woods Hole, MA 02543 USA.</t>
  </si>
  <si>
    <t>glawson@whoi.edu</t>
  </si>
  <si>
    <t>Chu, Dezhang/L-7004-2015</t>
  </si>
  <si>
    <t>Wiebe, Peter/0000-0002-6059-4651</t>
  </si>
  <si>
    <t>ACOUSTICAL SOC AMER AMER INST PHYSICS</t>
  </si>
  <si>
    <t>STE 1 NO 1, 2 HUNTINGTON QUADRANGLE, MELVILLE, NY 11747-4502 USA</t>
  </si>
  <si>
    <t>0001-4966</t>
  </si>
  <si>
    <t>J ACOUST SOC AM</t>
  </si>
  <si>
    <t>J. Acoust. Soc. Am.</t>
  </si>
  <si>
    <t>10.1121/1.2141229</t>
  </si>
  <si>
    <t>Acoustics; Audiology &amp; Speech-Language Pathology</t>
  </si>
  <si>
    <t>002LJ</t>
  </si>
  <si>
    <t>WOS:000234612600021</t>
  </si>
  <si>
    <t>Rossetti, F; Storti, F; Busetti, M; Lisker, F; Di Vincenzo, G; Läufer, AL; Rocchi, S; Salvini, F</t>
  </si>
  <si>
    <t>Eocene initiation of Ross Sea dextral faulting and implications for East Antarctic neotectonics</t>
  </si>
  <si>
    <t>JOURNAL OF THE GEOLOGICAL SOCIETY</t>
  </si>
  <si>
    <t>NORTHERN VICTORIA-LAND; FISSION-TRACK ANALYSIS; DRY VALLEYS AREA; TRANSANTARCTIC MOUNTAINS; WEST ANTARCTICA; UPLIFT HISTORY; RIFT SYSTEM; MARGIN; EVOLUTION; PLATE</t>
  </si>
  <si>
    <t>The Ross Sea region of the East Antarctic plate provides evidence for intraplate tectonic activity in Cenozoic times. Still unresolved are the cause, timing and kinematics of this intraplate tectonism. By integrating and discussing the different (kinematic and temporal) signals of Cenozoic tectonism, intraplate dextral shearing is recognized as the main tectonic regime controlling the structural architecture of the Ross Sea region from the Mid-Eocene (c. 40- 50 Ma) onward. We speculate that propagation and persistence of this tectonic regime through time constitutes a feasible seismogenetic framework to explain past and current tectonism in the Ross Sea region.</t>
  </si>
  <si>
    <t>Univ Roma Tre, Dipartimento Sci Geol, I-00146 Rome, Italy; Ist Nazl Oceanog &amp; Geofis Sperimentale, I-34010 Trieste, Italy; Univ Bremen, FB Geowissensch, D-28334 Bremen, Germany; CNR, Ist Geosci &amp; Georisorse, I-56124 Pisa, Italy; Bundesanstalt Geowissensch &amp; Rohstoffe, D-30655 Hannover, Germany; Univ Pisa, Dipartimento Sci Terra, I-56126 Pisa, Italy</t>
  </si>
  <si>
    <t>Roma Tre University; Istituto Nazionale di Oceanografia e di Geofisica Sperimentale; University of Bremen; Consiglio Nazionale delle Ricerche (CNR); Istituto di Geoscienze e Georisorse (IGG-CNR); University of Pisa</t>
  </si>
  <si>
    <t>Univ Roma Tre, Dipartimento Sci Geol, I-00146 Rome, Italy.</t>
  </si>
  <si>
    <t>rossetti@uniroma3.it</t>
  </si>
  <si>
    <t>Läufer, Andreas/ABC-1465-2020; Busetti, Martina/L-5185-2014; Storti, Fabrizio/D-9358-2017; Rossetti, Federico/C-1391-2009; Rocchi, Sergio/A-7752-2018</t>
  </si>
  <si>
    <t>Läufer, Andreas/0000-0003-2219-0450; Busetti, Martina/0000-0001-7039-3282; Rossetti, Federico/0000-0001-8071-7252; Rocchi, Sergio/0000-0001-6868-1939; DI VINCENZO, GIANFRANCO/0000-0002-9669-9789; Lisker, Frank/0000-0002-1615-7315; Storti, Fabrizio/0000-0003-2809-9471</t>
  </si>
  <si>
    <t>GEOLOGICAL SOC PUBL HOUSE</t>
  </si>
  <si>
    <t>UNIT 7, BRASSMILL ENTERPRISE CENTRE, BRASSMILL LANE, BATH BA1 3JN, AVON, ENGLAND</t>
  </si>
  <si>
    <t>0016-7649</t>
  </si>
  <si>
    <t>2041-479X</t>
  </si>
  <si>
    <t>J GEOL SOC LONDON</t>
  </si>
  <si>
    <t>J. Geol. Soc.</t>
  </si>
  <si>
    <t>10.1144/0016-764905-005</t>
  </si>
  <si>
    <t>998HD</t>
  </si>
  <si>
    <t>WOS:000234308300011</t>
  </si>
  <si>
    <t>Pigg, KB; Nishida, H</t>
  </si>
  <si>
    <t>Pigg, Kathleen B.; Nishida, Harufurni</t>
  </si>
  <si>
    <t>The significance of silicified plant remains to the understanding of Glossopteris-bearing plants:: an historical review</t>
  </si>
  <si>
    <t>JOURNAL OF THE TORREY BOTANICAL SOCIETY</t>
  </si>
  <si>
    <t>Glossopteris; Gondwana; Permian; permineralization</t>
  </si>
  <si>
    <t>CENTRAL TRANSANTARCTIC MOUNTAINS; LEAF VENATION; SYDNEY BASINS; SEED FERNS; PHYLOGENY; LEAVES; GYMNOSPERMS; EVOLUTION; ORIGIN; BOWEN</t>
  </si>
  <si>
    <t>PIGG, K. B. (School of Life Sciences, Arizona State University, PO Box 874501, Tempe, AZ, 85287-4501) AND H. NISHIDA (Faculty of Science and Engineering, Chuo University, 1-13-27 Kasuga, Bunkyo, Tokyo 1128551 Japan). The significance of silicified plant remains to the understanding of Glossopteris-bearing plants: an historical review. J. Torrey Bot. Soc. 133: 46-61. 2006.-Anatomically preserved fossils from the Late Permian basins of Antarctica and eastern Australia have played a pivotal role in our understanding of Glossopteris-bearing plants since their discovery in the late 1960s. The first studies, from the Bowen Basin of Queensland by Gould and Delevoryas, showed that permineralized glossopterid ovules are borne on fertile leaf-like structures, suggesting to these authors a seed fern affinity for them. Based on vascular bundle orientation, it is now clear that ovules are borne on the adaxial surface of fertile structures, and more recent study has documented that they are often borne on small stalks. Plectilospermum, an Antarctic seed, was shown to exhibit simple polyembryony. With the recent discovery of evidence for swimming sperm in Australian ovules, our understanding of glossopterid reproduction continues to develop. Although whole plant reconstructions are not yet known for individual glossopterid plants, we can now document, in part, information about the plants that bore G. schopfii, G. skaarensis, and G. homevalensis leaves.</t>
  </si>
  <si>
    <t>Arizona State Univ, Sch Life Sci, Tempe, AZ 85287 USA; Chuo Univ, Fac Sci &amp; Engn, Bunkyo Ku, Tokyo 1128551, Japan</t>
  </si>
  <si>
    <t>Arizona State University; Arizona State University-Tempe; Chuo University</t>
  </si>
  <si>
    <t>Pigg, KB (corresponding author), Arizona State Univ, Sch Life Sci, POB 874501, Tempe, AZ 85287 USA.</t>
  </si>
  <si>
    <t>kpigg@asu.edu</t>
  </si>
  <si>
    <t>Pigg, Kathleen/0000-0002-8182-8461</t>
  </si>
  <si>
    <t>TORREY BOTANICAL SOC</t>
  </si>
  <si>
    <t>LAWRENCE</t>
  </si>
  <si>
    <t>810 E 10TH ST, LAWRENCE, KS 66044 USA</t>
  </si>
  <si>
    <t>1095-5674</t>
  </si>
  <si>
    <t>1940-0616</t>
  </si>
  <si>
    <t>J TORREY BOT SOC</t>
  </si>
  <si>
    <t>J. Torrey Bot. Soc.</t>
  </si>
  <si>
    <t>10.3159/1095-5674(2006)133[46:TSOSPR]2.0.CO;2</t>
  </si>
  <si>
    <t>043ZV</t>
  </si>
  <si>
    <t>WOS:000237642600006</t>
  </si>
  <si>
    <t>Carvalho, FRS; Nastasi, FR; Gamba, RC; Foronda, AS; Pellizari, VH</t>
  </si>
  <si>
    <t>Cianciotto, NP; Kwaik, YA; Edelstein, PH; Fields, BS; Geary, DF; Harrison, TG; Joseph, CA; Ratcliff, RM; Stout, JE; Swanson, MS</t>
  </si>
  <si>
    <t>Carvalho, Fabio R. S.; Nastasi, Fernando R.; Gamba, Rosa C.; Foronda, Annette S.; Pellizari, Vivian H.</t>
  </si>
  <si>
    <t>Diversity of Legionella spp, in Antarctic lakes of the Keller Peninsula</t>
  </si>
  <si>
    <t>LEGIONELLA: STATE OF THE ART 30 YEARS AFTER ITS RECOGNITION</t>
  </si>
  <si>
    <t>6th International Conference on Legionella</t>
  </si>
  <si>
    <t>OCT 16-20, 2005</t>
  </si>
  <si>
    <t>Chicago, IL</t>
  </si>
  <si>
    <t>POPULATIONS; PNEUMOPHILA</t>
  </si>
  <si>
    <t>[Carvalho, Fabio R. S.; Nastasi, Fernando R.; Gamba, Rosa C.; Foronda, Annette S.; Pellizari, Vivian H.] Univ Sao Paulo, ICB, BR-05508900 Sao Paulo, SP, Brazil</t>
  </si>
  <si>
    <t>Universidade de Sao Paulo</t>
  </si>
  <si>
    <t>Carvalho, FRS (corresponding author), Univ Sao Paulo, ICB, BR-05508900 Sao Paulo, SP, Brazil.</t>
  </si>
  <si>
    <t>Pellizari, Vivian/J-9153-2012; Carvalho, Fabio Ramos de Souza/B-8195-2016</t>
  </si>
  <si>
    <t>Ramos de Souza Carvalho, Fabio/0000-0002-6524-4482</t>
  </si>
  <si>
    <t>AMER SOC MICROBIOLOGY</t>
  </si>
  <si>
    <t>WASHINGTON</t>
  </si>
  <si>
    <t>1752 N STREET NW, WASHINGTON, DC 20036-2904 USA</t>
  </si>
  <si>
    <t>978-1-55581-390-1</t>
  </si>
  <si>
    <t>Infectious Diseases</t>
  </si>
  <si>
    <t>BFS09</t>
  </si>
  <si>
    <t>WOS:000244175400098</t>
  </si>
  <si>
    <t>Pannewitz, S; Green, TGA; Schlensog, M; Seppelt, R; Sancho, LG; Schroeter, B</t>
  </si>
  <si>
    <t>Photosynthetic performance of Xanthoria mawsonii C.W.!Dodge in coastal habitats, Ross Sea region, continental Antarctica</t>
  </si>
  <si>
    <t>LICHENOLOGIST</t>
  </si>
  <si>
    <t>chlorophyll a fluorescence; lichens; photosynthesis; temperature; water content</t>
  </si>
  <si>
    <t>CHLOROPHYLL-A FLUORESCENCE; WATER-CONTENT; CO2 EXCHANGE; LICHENS; THALLUS; CARBON; LAND; CRYPTOGAMS; LIGHT; MOSS</t>
  </si>
  <si>
    <t>Xanthoria mawsonii C. W. Dodge was found to perform well physiologically in a variety of habitats at high latitudes in continental Antarctica. The net photosynthetic rate of 7-5 mu mol CO2 kg(-1) s(-1) is exceptionally high for Antarctic lichens. Field and laboratory measurements proved the photosynthetic apparatus to be highly adapted to strong irradiance. The cold resistance of the photosystem II reaction centres is higher than the photosynthetic CO, fixation process. Optimum temperature for net photosynthesis was c. 10 degrees C. The lichen grows along water channels where it is frequently inundated and hydrated to maximum water content, although net photosynthesis is strongly depressed by super saturation. In these habitats the lichen is photosynthetically active for long periods of time. Xanthoria mawsonii also grows at sites where it depends entirely on the early spring snow melt and occasional snow fall for moisture. It has an exceptionally short reactivation phase and is able to utilize snow immediately. Recovery of activity by absorbing water vapour from air, though practically possible, seems to be of ecological importance only under snow at subzero temperatures.</t>
  </si>
  <si>
    <t>Univ Kiel, Inst Bot, D-24098 Kiel, Germany; Univ Waikato, Hamilton, New Zealand; Australian Antarctic Programme, Kingston, Tas, Australia; Univ Complutense, Fac Farm, Dept Biol Vegetal 2, E-28040 Madrid, Spain</t>
  </si>
  <si>
    <t>University of Kiel; University of Waikato; Australian Antarctic Division; Complutense University of Madrid</t>
  </si>
  <si>
    <t>Clausthaler Str 25, D-28205 Bremen, Germany.</t>
  </si>
  <si>
    <t>Sancho, leopoldo G./H-2974-2013; SANCHO, LEOPOLDO/G-9120-2015</t>
  </si>
  <si>
    <t>SANCHO, LEOPOLDO/0000-0002-4751-7475</t>
  </si>
  <si>
    <t>0024-2829</t>
  </si>
  <si>
    <t>1096-1135</t>
  </si>
  <si>
    <t>Lichenologist</t>
  </si>
  <si>
    <t>10.1017/S0024282905005384</t>
  </si>
  <si>
    <t>Plant Sciences; Mycology</t>
  </si>
  <si>
    <t>004EK</t>
  </si>
  <si>
    <t>WOS:000234734600007</t>
  </si>
  <si>
    <t>Kantvilas, G; Seppelt, RD</t>
  </si>
  <si>
    <t>Polysporina frigida sp nov from Antarctica</t>
  </si>
  <si>
    <t>Acarosporaceae; antarctica; lichenized Ascomycetes; Polysporina</t>
  </si>
  <si>
    <t>GENUS</t>
  </si>
  <si>
    <t>The new species, Polysporina frigida Kantvilas &amp; Seppelt is described and illustrated. It is the first record of this genus from the Antarctic continent.</t>
  </si>
  <si>
    <t>Tasmanian Herbarium, Hobart, Tas 7001, Australia; Australian Antarctic Div, Kingston, Tas 7050, Australia</t>
  </si>
  <si>
    <t>Kantvilas, G (corresponding author), Tasmanian Herbarium, Private Bag 4, Hobart, Tas 7001, Australia.</t>
  </si>
  <si>
    <t>10.1017/S0024282906005640</t>
  </si>
  <si>
    <t>025MT</t>
  </si>
  <si>
    <t>WOS:000236271100002</t>
  </si>
  <si>
    <t>Sovik, SL; Rustad, T</t>
  </si>
  <si>
    <t>Effect of season and fishing ground on the activity of cathepsin B and collagenase in by-products from cod species</t>
  </si>
  <si>
    <t>LWT-FOOD SCIENCE AND TECHNOLOGY</t>
  </si>
  <si>
    <t>cathepsin B; collagenase; by-products; cod species</t>
  </si>
  <si>
    <t>COLLAGENOLYTIC SERINE PROTEINASE; PROCATHEPSIN-B; CONNECTIVE-TISSUE; EUPHAUSIA-SUPERBA; ANTARCTIC KRILL; ORDINARY MUSCLE; MUJIL-AURATUS; GADUS-MORHUA; WHITE MUSCLE; IN-VITRO</t>
  </si>
  <si>
    <t>Cathepsin B and collagenase are important enzymes in the quality-deteriorating processes of fish products. Fish by-products are the left-overs after preparation of the main product and are highly perishable fractions of the fish. They do, however, contain high-quality protein with a potential for utilization. This study characterizes the activity of cathepsins B and collagenase in by-products from five species of cod caught in different fishing grounds and in different seasons. Mean maximum cathepsin B activity was measured at 35 degrees C in the viscera and the liver, and 50 degrees C in cut off, while collagenase showed mean maximum activity at 20 degrees C in cut off, 35 degrees C in liver and 50 degrees C in viscera. Species, season and fishing ground significantly affected activity of cathepsin B and collagenase in cut off samples, while viscera samples were not significantly affected. Cathepsin B was more heat stable than collagenase in all three fractions. Both cathepsin B and collagenase from cut off were less heat stable than the corresponding enzymes from the other two fractions. (c) 2004 Swiss Society of Food Science and Technology. Published by Elsevier Ltd. All rights reserved.</t>
  </si>
  <si>
    <t>Norwegian Univ Sci &amp; Technol, Dept Biotechnol, NO-7491 Trondheim, Norway</t>
  </si>
  <si>
    <t>Norwegian University of Science &amp; Technology (NTNU)</t>
  </si>
  <si>
    <t>Norwegian Univ Sci &amp; Technol, Dept Biotechnol, SemSalands Vei 6, NO-7491 Trondheim, Norway.</t>
  </si>
  <si>
    <t>siri.sovik@biotech.ntnu.no</t>
  </si>
  <si>
    <t>0023-6438</t>
  </si>
  <si>
    <t>1096-1127</t>
  </si>
  <si>
    <t>LWT-FOOD SCI TECHNOL</t>
  </si>
  <si>
    <t>LWT-Food Sci. Technol.</t>
  </si>
  <si>
    <t>10.1016/j.lwt.2004.11.006</t>
  </si>
  <si>
    <t>Food Science &amp; Technology</t>
  </si>
  <si>
    <t>973MF</t>
  </si>
  <si>
    <t>WOS:000232526200007</t>
  </si>
  <si>
    <t>[Anonymous]</t>
  </si>
  <si>
    <t>Antarctic ozone hole back near record size</t>
  </si>
  <si>
    <t>MANAGEMENT OF ENVIRONMENTAL QUALITY</t>
  </si>
  <si>
    <t>News Item</t>
  </si>
  <si>
    <t>EMERALD GROUP PUBLISHING LTD</t>
  </si>
  <si>
    <t>BINGLEY</t>
  </si>
  <si>
    <t>HOWARD HOUSE, WAGON LANE, BINGLEY BD16 1WA, W YORKSHIRE, ENGLAND</t>
  </si>
  <si>
    <t>1477-7835</t>
  </si>
  <si>
    <t>1758-6119</t>
  </si>
  <si>
    <t>MANAG ENVIRON QUAL</t>
  </si>
  <si>
    <t>Manag. Environ. Qual.</t>
  </si>
  <si>
    <t>10.1108/meq.2006.08317bab.002</t>
  </si>
  <si>
    <t>VB2WX</t>
  </si>
  <si>
    <t>WOS:000415226700011</t>
  </si>
  <si>
    <t>Allcock, AL; Strugnell, JM; Ruggiero, H; Collins, MA</t>
  </si>
  <si>
    <t>Allcock, A. L.; Strugnell, J. M.; Ruggiero, H.; Collins, M. A.</t>
  </si>
  <si>
    <t>Redescription of the deep-sea octopod Benthoctopus normani (Massy 1907) and a description of a new species from the Northeast Atlantic</t>
  </si>
  <si>
    <t>MARINE BIOLOGY RESEARCH</t>
  </si>
  <si>
    <t>Benthoctopus johnsoniana; Benthoctopus normani; Cephalopoda; deep sea; Northeast Atlantic</t>
  </si>
  <si>
    <t>BATHYPOLYPUS; CEPHALOPODS</t>
  </si>
  <si>
    <t>A long-synonymized species Benthoctopus normani (Massy 1907) (Cephalopoda: Octopodidae) is redescribed from material collected over 30 years by the National Oceanography Centre, Southampton and the National Museums of Scotland. It can be distinguished from other octopodid specimens found in deep waters of the Northeast Atlantic by its biserial suckers, lack of ink sac, and simple ligula, which lacks transverse ridges. Examination of the collections led to the identification of a new species of Benthoctopus from the Northeast Atlantic, which is described herein.</t>
  </si>
  <si>
    <t>Queens Univ Belfast, Belfast BT9 7BL, Antrim, North Ireland; British Antarctic Survey, Cambridge CB3 0ET, England</t>
  </si>
  <si>
    <t>Queens University Belfast; UK Research &amp; Innovation (UKRI); Natural Environment Research Council (NERC); NERC British Antarctic Survey</t>
  </si>
  <si>
    <t>Allcock, AL (corresponding author), Queens Univ Belfast, 97 Lisburn Rd, Belfast BT9 7BL, Antrim, North Ireland.</t>
  </si>
  <si>
    <t>l.allcock@qub.ac.uk</t>
  </si>
  <si>
    <t>Strugnell, Jan/B-1698-2010; Collins, Martin A/J-8560-2017; Strugnell, Jan M/P-9921-2016; Strugnell, Jan/C-5522-2008; , Martin/ABE-6728-2020; Allcock, Louise/A-7359-2012</t>
  </si>
  <si>
    <t>, Martin/0000-0001-7132-8650; Allcock, Louise/0000-0002-4806-0040; Strugnell, Jan/0000-0003-2994-637X</t>
  </si>
  <si>
    <t>TAYLOR &amp; FRANCIS AS</t>
  </si>
  <si>
    <t>OSLO</t>
  </si>
  <si>
    <t>KARL JOHANS GATE 5, NO-0154 OSLO, NORWAY</t>
  </si>
  <si>
    <t>1745-1000</t>
  </si>
  <si>
    <t>1745-1019</t>
  </si>
  <si>
    <t>MAR BIOL RES</t>
  </si>
  <si>
    <t>Mar. Biol. Res.</t>
  </si>
  <si>
    <t>10.1080/17451000600973315</t>
  </si>
  <si>
    <t>Ecology; Marine &amp; Freshwater Biology</t>
  </si>
  <si>
    <t>Environmental Sciences &amp; Ecology; Marine &amp; Freshwater Biology</t>
  </si>
  <si>
    <t>126RP</t>
  </si>
  <si>
    <t>WOS:000243533000002</t>
  </si>
  <si>
    <t>Pecl, GT; Tracey, SR; Semmens, JM; Jackson, GD</t>
  </si>
  <si>
    <t>Pecl, Gretta T.; Tracey, Sean R.; Semmens, Jayson M.; Jackson, George D.</t>
  </si>
  <si>
    <t>Use of acoustic telemetry for spatial management of southern calamary Sepioteuthis australis, a highly mobile inshore squid species</t>
  </si>
  <si>
    <t>MARINE ECOLOGY PROGRESS SERIES</t>
  </si>
  <si>
    <t>movement; closed areas; squid fisheries; spawning behavior; tracking; reproductive effort; spawning duration</t>
  </si>
  <si>
    <t>ATLANTIC SALMON; PLECTROPOMUS-LEOPARDUS; FISHERIES BIOLOGY; LOLIGO-OPALESCENS; STOCK ASSESSMENT; LIFE-HISTORY; MONTEREY BAY; PATTERNS; TRACKING; RATES</t>
  </si>
  <si>
    <t>The use of temporal and/or spatial fishing exclusions is a common approach in managing impacts of squid fisheries targeting spawning aggregations, although there are limited data for assessing closed areas as a management tool. We evaluated the degree of protection that 2 closed areas were providing to individual spawning Sepioteuthis australis and assessed the extent of exchange between these coastal regions, separated by only 25 to 32 km. VR2 acoustic receivers were placed along the boundaries of closed areas on the east coast of Tasmania, Australia, across smaller bays within these areas, and on individual seagrass beds. Over 77 000 detection events were obtained from 46 individuals over durations of up to 129 d, demonstrating that individuals spawn over several months, traveling 100s of km within the spawning areas during this time. Squid were detected at closed area boundaries; however, most were detected again on other receivers within the closed area, indicating that although squid had moved within boundary vicinities, they had not actually left the protected area. Closures of critical spawning regions during times of heightened reproductive activity will therefore achieve the desired effect of protecting spawners and will allow for egg-laying. Clearly, inshore squid species can be highly mobile during an extended spawning phase and any assessment of the management benefits of closed areas needs to explicitly consider the temporal and spatial scales of the closed area in question.</t>
  </si>
  <si>
    <t>Univ Tasmania, Inst Antarctic &amp; So Ocean Studies, Hobart, Tas 7001, Australia; Tasmanian Aquaculture &amp; Fisheries Inst, Hobart, Tas 7001, Australia</t>
  </si>
  <si>
    <t>University of Tasmania; University of Tasmania</t>
  </si>
  <si>
    <t>Pecl, GT (corresponding author), Univ Tasmania, Inst Antarctic &amp; So Ocean Studies, Private Bag 77, Hobart, Tas 7001, Australia.</t>
  </si>
  <si>
    <t>gretta.pecl@utas.edu.au</t>
  </si>
  <si>
    <t>Pecl, Gretta/D-7267-2011; Jackson, George D/AAI-7315-2021; Tracey, Sean/J-7446-2014</t>
  </si>
  <si>
    <t>Pecl, Gretta/0000-0003-0192-4339; Semmens, Jayson/0000-0003-1742-6692; Tracey, Sean/0000-0002-6735-5899</t>
  </si>
  <si>
    <t>INTER-RESEARCH</t>
  </si>
  <si>
    <t>OLDENDORF LUHE</t>
  </si>
  <si>
    <t>NORDBUNTE 23, D-21385 OLDENDORF LUHE, GERMANY</t>
  </si>
  <si>
    <t>0171-8630</t>
  </si>
  <si>
    <t>1616-1599</t>
  </si>
  <si>
    <t>MAR ECOL PROG SER</t>
  </si>
  <si>
    <t>Mar. Ecol.-Prog. Ser.</t>
  </si>
  <si>
    <t>10.3354/meps328001</t>
  </si>
  <si>
    <t>Ecology; Marine &amp; Freshwater Biology; Oceanography</t>
  </si>
  <si>
    <t>Environmental Sciences &amp; Ecology; Marine &amp; Freshwater Biology; Oceanography</t>
  </si>
  <si>
    <t>151VR</t>
  </si>
  <si>
    <t>Bronze, Green Accepted</t>
  </si>
  <si>
    <t>WOS:000245319400001</t>
  </si>
  <si>
    <t>Hirst, A; López-Urrutia, A</t>
  </si>
  <si>
    <t>Hirst, Andrew; Lopez-Urrutia, Angel</t>
  </si>
  <si>
    <t>Effects of evolution on egg development time</t>
  </si>
  <si>
    <t>development; evolution hatch; eggs; metabolic theory; biochemical kinetics; zooplankton; nekton</t>
  </si>
  <si>
    <t>MARINE PLANKTONIC COPEPODS; GLOBAL RATES; TEMPERATURE; POPULATION; ALLOMETRY; MORTALITY; PATTERNS; EMBRYOS; CLOCK; SIZE</t>
  </si>
  <si>
    <t>Using a global data set on egg hatch times in zooplanktonic and nektonic ectotherms from marine waters, the combined effects of body size, temperature and life-history attributes on development times were examined. After correcting for mass and temperature the mean egg hatch times (from laying to hatching) were 20 times faster in some taxa than in others. Some of the divergence in hatch times can be accounted for by the disposition strategy of the eggs. Eggs that are protected after laying (e.g. carried by the female, or attached to a substrate or floating in clumped masses) take 3.3 times longer on average to develop to hatching than those spawned individually and freely into the pelagic environment (i.e. 'unprotected'), and this difference is independent of egg size. Given that unprotected eggs typically have higher mortality rates, it is proposed that evolution has acted to shorten this vulnerable period. Not only do hatch times appear to diverge on the basis of egg protection strategy, but also a similar degree of separation was apparent in cell cycle duration (i.e. time from 2 to 4 cell stage), These results reinforce the importance of egg disposition on development rate processes and their evolution.</t>
  </si>
  <si>
    <t>British Antarctic Survey, NERC, Cambridge CB3 0ET, England; Ctr Oceanog Gijon, Inst Espanol Oceanog, Asturias 33212, Spain</t>
  </si>
  <si>
    <t>UK Research &amp; Innovation (UKRI); Natural Environment Research Council (NERC); NERC British Antarctic Survey; Spanish Institute of Oceanography</t>
  </si>
  <si>
    <t>Hirst, A (corresponding author), British Antarctic Survey, NERC, High Cross,Madingley Rd, Cambridge CB3 0ET, England.</t>
  </si>
  <si>
    <t>aghi@bas.ac.uk</t>
  </si>
  <si>
    <t>Lopez-Urrutia, Angel/R-9475-2019; Hirst, Andrew G/A-6296-2013; Lopez-Urrutia, Angel/L-2636-2014</t>
  </si>
  <si>
    <t>Lopez-Urrutia, Angel/0000-0002-6135-2937; Hirst, Andrew/0000-0001-9132-1886</t>
  </si>
  <si>
    <t>10.3354/meps326029</t>
  </si>
  <si>
    <t>120RT</t>
  </si>
  <si>
    <t>WOS:000243104300003</t>
  </si>
  <si>
    <t>Maes, J; Van de Putte, A; Hecq, JH; Volckaert, FAM</t>
  </si>
  <si>
    <t>Maes, Joachim; Van de Putte, Anton; Hecq, Jean-Henri; Volckaert, Filip A. M.</t>
  </si>
  <si>
    <t>State-dependent energy allocation in the pelagic Antarctic silverfish Pleuragramma antarcticum:: trade-off between winter reserves and buoyancy</t>
  </si>
  <si>
    <t>Antarctica; dynamic state variable model; lipid metabolism; pelagic fish; Notothemoidei; Southern Ocean</t>
  </si>
  <si>
    <t>NOTOTHENIOID FISH; BODY-MASS; LIFE; JUVENILE; MODEL; SEA; PISCES; KRILL; ICE</t>
  </si>
  <si>
    <t>Icefishes of the perciform suborder Notothenioidei dominate the Antarctic ichthyofauna. These species originated from a benthic ancestor and do not possess a swimbladder. However, some notothenioids have achieved neutral buoyancy through skeletal reductions as well as storage of lipids to reduce body mass relative to seawater. These adaptations enable them to exploit the highly productive pelagic realm. Mobilizing these lipid reserves in periods of critically low food intake may lead to buoyancy problems. Accumulating and conserving these reserves may slow down the development of somatic and reproductive tissues and hence future reproductive output. We constructed a dynamic state variable model to investigate how ingested energy is partitioned over 3 state variables: lipid reserves, structural protein body mass and egg development. Two forms of the model differed in that lipid reserves were either included in or excluded from the total metabolic energy budget of an individual. The model was parameterised for the Antarctic silverfish Pleuragramma antarcticum, a key species in the pelagic food web of the high Antarctic zone of the Southern Ocean. In Pleuragramma, lipids are stored in unique extracellular lipid sacs, which are thought to serve as buoyancy aids and energy reserves. The model predicts optimal habitat selection and an optimal energy allocation strategy by maximizing future reproductive output. The environment is simulated using vertical gradients in water temperature, optical properties, food availability and predation risk. The form of the model that considers lipids as metabolically inactive reserves best replicates field measurements of fat content and yields high values for fitness in Pleuragramma. Uncoupling fat reserves from metabolism, through the development of extracellular lipid sacs, probably represents a key adaptation in the evolution towards a pelagic lifestyle in a fish species with a low scope for activity.</t>
  </si>
  <si>
    <t>Katholieke Univ Leuven, Aquat Ecol Lab, B-3000 Louvain, Belgium; Univ Liege, Dept Oceanol, B-4000 Cointe Ougree, Belgium</t>
  </si>
  <si>
    <t>KU Leuven; University of Liege</t>
  </si>
  <si>
    <t>Maes, J (corresponding author), Vlaamse Instelling Technol Onderzoek, Flemish Inst Technol Res, Boeretang 2000, B-2400 Mol, Belgium.</t>
  </si>
  <si>
    <t>joachim.maes@vito.be</t>
  </si>
  <si>
    <t>Volckaert, Filip/AAC-7691-2019; Van de Putte, Anton/S-3729-2019; Van de Putte, Anton P/F-6877-2012; Maes, Joachim/ABG-8549-2020</t>
  </si>
  <si>
    <t>Van de Putte, Anton/0000-0003-1336-5554; Maes, Joachim/0000-0002-8272-1607</t>
  </si>
  <si>
    <t>10.3354/meps326269</t>
  </si>
  <si>
    <t>WOS:000243104300023</t>
  </si>
  <si>
    <t>Menezes, GM; Sigler, MF; Silva, HM; Pinho, MR</t>
  </si>
  <si>
    <t>Menezes, Gui M.; Sigler, Michael F.; Silva, Helder M.; Pinho, Mario R.</t>
  </si>
  <si>
    <t>Structure and zonation of demersal fish assemblages off the Azores Archipelago (mid-Atlantic)</t>
  </si>
  <si>
    <t>Azores archipelago; demersal fish assemblages; islands; seamounts; fish distribution; zonation; water masses</t>
  </si>
  <si>
    <t>EASTERN NORTH-ATLANTIC; DEEP-WATER FISH; CONTINENTAL-SHELF; UPPER SLOPE; GROUNDFISH ASSEMBLAGES; PORCUPINE SEABIGHT; MEDITERRANEAN SEA; CANARY-ISLANDS; COMMUNITY; PATTERNS</t>
  </si>
  <si>
    <t>The assemblages of the demersal fish fauna of the Azores Archipelago are described from longline surveys that extended from the coastline to 1200 m water depth. A total of 104 fish species from 47 different families were caught, and despite the changes of biogeographic affinities with depth, most species caught are of subtropical origin (mainly from the Eastern Atlantic/Mediterranean areas) or have a broad geographic distribution. Four large-scale fish assemblages following a depth-aligned structure were found: a shallow-shelf/shelf-break assemblage at depths &lt; 200 m, an upper-slope assemblage at 200-600 m, a mid-slope assemblage at 600-800 m and a deep mid-slope assemblage at 800-1200 m. Within the main shallow assemblage, 4 small-scale fish assemblages were found: an inner-shelf-island assemblage, an outer-shelf-island assemblage, a seamount/island-shelf/shelf-break assemblage and a transitional shelf/break assemblage. The bathymetric delineation of the mid-slope assemblages coincides with the known distributions of the North Atlantic Central Water (NACW), Mediterranean Water (MW) and the upper influence of the intermediate waters in the region: the northern sub-polar waters (Subarctic Intermediate Water [SAIW], the Labrador Sea Water [LSW]) and the Antarctic Intermediate Water (AAIW). The delineation of the shallow small-scale fish assemblages appears to be determined by small-scale environmental factors (e.g. bottom characteristics, seamounts or island areas).</t>
  </si>
  <si>
    <t>Univ Acores, Dept Oceanograf &amp; Pescas, P-9901862 Horta, Portugal; US Natl Marine Fisheries Serv, Alaska Fisheries Sci Ctr, Auke Bay Lab, Juneau, AK 99801 USA</t>
  </si>
  <si>
    <t>Universidade dos Acores; National Oceanic Atmospheric Admin (NOAA) - USA</t>
  </si>
  <si>
    <t>Menezes, GM (corresponding author), Univ Acores, Dept Oceanograf &amp; Pescas, Cais Santa Cruz, P-9901862 Horta, Portugal.</t>
  </si>
  <si>
    <t>gui@notes.horta.uac.pt</t>
  </si>
  <si>
    <t>Menezes, Gui M./A-3956-2009; Menezes, Gui M/HMV-5797-2023</t>
  </si>
  <si>
    <t>Menezes, Gui M/0000-0003-0781-4579; Silva, Helder/0000-0001-7181-1976; Pinho, Mario Rui/0000-0002-8045-2546</t>
  </si>
  <si>
    <t>10.3354/meps324241</t>
  </si>
  <si>
    <t>110KE</t>
  </si>
  <si>
    <t>WOS:000242376800020</t>
  </si>
  <si>
    <t>Woehler, EJ; Raymond, B; Watts, DJ</t>
  </si>
  <si>
    <t>Woehler, Eric J.; Raymond, Ben; Watts, David J.</t>
  </si>
  <si>
    <t>Convergence or divergence: where do short-tailed shearwaters forage in the Southern Ocean?</t>
  </si>
  <si>
    <t>short-tailed shearwater; Puffinus tenuirostris; foraging; Southern Ocean; oceanographic features; prey predictability</t>
  </si>
  <si>
    <t>MARGINAL ICE-ZONE; PUFFINUS-TENUIROSTRIS; SEABIRD DISTRIBUTION; ECOLOGICAL STRUCTURE; WEDDELL SEA; PRYDZ BAY; DYNAMICS; ANTARCTICA; ABUNDANCE; SECTOR</t>
  </si>
  <si>
    <t>Short-tailed shearwaters Puffinus tenuirostris (STSH) make use of a number of physical oceanographic features on their foraging trips to the Southern Ocean from their breeding colonies in southeast Australia. We examined the patterns in STSH at sea in the southern Indian Ocean with respect to various physical oceanographic features. Between mid-September and mid-January, there was a prominent peak in STSH densities associated with the Antarctic Polar Front (APF). A secondary peak in foraging STSH densities associated with the Antarctic Divergence (AD) was also present from late November to mid April. The high densities of STSH associated with the APF and AD support the interpretation that these features are concentrating prey in a predictable manner. As the summer breeding season progresses, STSH are observed farther southward and westward, reaching their greatest distances from their colonies at the time when they are feeding chicks. The ice edge did not appear to be a foraging focus for STSH, but represented the southern-most limit of STSH foraging in the Southern Ocean. Throughout this southward and westward movement, STSH avoid areas with pack ice. As the Marginal Ice Zone (MIZ) retreats southward, the STSH follow and, by mid summer, are foraging over the Antarctic continental shelf. The shelf break, MIZ and AD overlap spatially during the summer months as the MIZ retreats southward past the AD and over the continental shelf. The individual influences of each of these 3 oceanographic features could not be disentangled. The southward shift by STSH from the APF to the more productive MIZ/AD/continental shelf is associated with the hatching of eggs and the onset of the elevated energy demands of growing chicks.</t>
  </si>
  <si>
    <t>Univ Tasmania, Inst Antarctic &amp; So Ocean Studies, Hobart, Tas 7001, Australia; Australian Antarctic Div, Dept Environm &amp; Heritage, Kingston, Tas 7050, Australia</t>
  </si>
  <si>
    <t>University of Tasmania; Australian Antarctic Division</t>
  </si>
  <si>
    <t>Woehler, EJ (corresponding author), Univ Tasmania, Inst Antarctic &amp; So Ocean Studies, Private Bag 77, Hobart, Tas 7001, Australia.</t>
  </si>
  <si>
    <t>eric.woehler@utas.edu.au</t>
  </si>
  <si>
    <t>Watts, David/0000-0002-0373-1971; Woehler, Eric/0000-0002-1125-0748</t>
  </si>
  <si>
    <t>10.3354/meps324261</t>
  </si>
  <si>
    <t>WOS:000242376800021</t>
  </si>
  <si>
    <t>Trathan, PN; Green, C; Tanton, J; Peat, H; Poncet, J; Morton, A</t>
  </si>
  <si>
    <t>Trathan, P. N.; Green, C.; Tanton, J.; Peat, H.; Poncet, J.; Morton, A.</t>
  </si>
  <si>
    <t>Foraging dynamics of macaroni penguins Eudyptes chrysolophus at South Georgia during brood-guard</t>
  </si>
  <si>
    <t>macaroni penguin; foraging; oceanography; satellite telemetry; South Georgia</t>
  </si>
  <si>
    <t>ANTARCTIC CIRCUMPOLAR CURRENT; ROCKHOPPER PENGUINS; ORIENTATION SYSTEM; DIVING BEHAVIOR; GPS TRACKING; FUR SEALS; KRILL; VARIABILITY; NORTH; COMPETITION</t>
  </si>
  <si>
    <t>We used satellite telemetry methods to study macaroni penguins at South Georgia to determine how they ranged from their colonies during the early part of their breeding season at a time when they are constrained to return to their chicks on a near-daily basis. The principal objectives of this study were to examine whether these penguins exploit major oceanographic features where prey may be more predictable, whether birds from one colony forage in separate locations to those from nearby colonies, or whether they range evenly over the available area. Results show that the penguins did not range evenly, that birds from one colony tended to forage in locations separate from those used by birds from nearby colonies (or at least overlap was restricted), and that though birds from some colonies foraged within waters influenced by major oceanographic features such as the southern Antarctic Circumpolar Current front, not all birds in the region focused on such areas, as some birds foraged in other oceanographic contexts. The results from this study highlight the complexity of foraging dynamics for colonially nesting seabirds; they also help inform management models currently being developed for Antarctic krill fisheries, which are a potential competitor for the main prey of macaroni penguins.</t>
  </si>
  <si>
    <t>British Antarctic Survey, NERC, Cambridge CB3 0ET, England; Golden Fleece Expedit, Stanley FIQQ 1ES, Falkland Island, England</t>
  </si>
  <si>
    <t>Trathan, PN (corresponding author), British Antarctic Survey, NERC, High Cross,Madingley Rd, Cambridge CB3 0ET, England.</t>
  </si>
  <si>
    <t>p.trathan@bas.ac.uk</t>
  </si>
  <si>
    <t>Peat, Helen J/E-9666-2015; Tennant, Jane/C-5226-2011</t>
  </si>
  <si>
    <t>Peat, Helen/0000-0003-2017-8597</t>
  </si>
  <si>
    <t>10.3354/meps323239</t>
  </si>
  <si>
    <t>103XY</t>
  </si>
  <si>
    <t>Green Accepted, Bronze</t>
  </si>
  <si>
    <t>WOS:000241921700022</t>
  </si>
  <si>
    <t>Page, B; McKenzie, J; Sumner, MD; Coyne, M; Goldsworthy, SD</t>
  </si>
  <si>
    <t>Page, Brad; McKenzie, Jane; Sumner, Michael D.; Coyne, Michael; Goldsworthy, Simon D.</t>
  </si>
  <si>
    <t>Spatial separation of foraging habitats among New Zealand fur seals</t>
  </si>
  <si>
    <t>Arctocephalus; sexual segregation; sexual dimorphism; foraging ecology; resource partitioning</t>
  </si>
  <si>
    <t>FEMALE NEW-ZEALAND; ARCTOCEPHALUS-GAZELLA; SATELLITE TRACKING; DIVING BEHAVIOR; BODY-SIZE; SEGREGATION; COMPETITION; DIMORPHISM; AUSTRALIA; SEABIRDS</t>
  </si>
  <si>
    <t>We studied the foraging behaviour of lactating female, adult male and juvenile New Zealand (NZ) fur seals to compare and contrast their foraging strategies and assess the degree of spatial separation of their foraging habitats. Adult male fur seals are longer and heavier than lactating females, which are longer and heavier than juveniles. Trip duration was positively correlated with the distance travelled by all age/sex groups. Juveniles conducted longer trips and travelled further from the colony than males. Both juveniles and males conducted longer trips and travelled further than females, which made brief trips because they were provisioning pups. There were no seasonal differences in the behaviour of males, but females and juveniles foraged closer to the colony in summer when they were moulting and females had younger pups. Behavioural differences were recorded between lactating female, male and juvenile seals in the directional bearing from the colony, the distance travelled, the minimum size of the area that was potentially visited and the horizontal swim speed. Intra-specific foraging competition among these age/sex groups was minimal because lactating females typically used continental shelf waters and males utilised deeper waters over the shelf break, adjacent to female foraging grounds. Furthermore, juveniles used pelagic waters, up to 1000 km south of the habitats used by adults. Differences in the habitats used by females, males and juveniles were also apparent in the seafloor gradient, the SST and the surface chl a concentration, with females using regions with the highest chl a concentrations. Results from this study suggest that smaller seals cannot efficiently utilise prey in the same habitats as larger seals because smaller seals do not have the capacity to spend enough time underwater at the greater depths.</t>
  </si>
  <si>
    <t>La Trobe Univ, Dept Zool, Sea Mammal Ecol Grp, Bundoora, Vic 3086, Australia; Univ Tasmania, Inst Antarctic &amp; So Ocean Studies, Hobart, Tas 7001, Australia; Duke Univ, Marine Geospatial Ecol Lab, Durham, NC 27708 USA</t>
  </si>
  <si>
    <t>La Trobe University; University of Tasmania; Duke University</t>
  </si>
  <si>
    <t>Page, B (corresponding author), S Australian Res &amp; Dev Inst Aquat Sci, POB 120, Henley Beach, SA 5022, Australia.</t>
  </si>
  <si>
    <t>page.bradley@saugov.sa.gov.au</t>
  </si>
  <si>
    <t>Sumner, Michael D/J-3478-2013</t>
  </si>
  <si>
    <t>Goldsworthy, Simon/0000-0003-4988-9085; Sumner, Michael/0000-0002-2471-7511</t>
  </si>
  <si>
    <t>10.3354/meps323263</t>
  </si>
  <si>
    <t>WOS:000241921700024</t>
  </si>
  <si>
    <t>Ritchie, KB</t>
  </si>
  <si>
    <t>Ritchie, Kim B.</t>
  </si>
  <si>
    <t>Regulation of microbial populations by coral surface mucus and mucus-associated bacteria</t>
  </si>
  <si>
    <t>surface mucopolysaccharide layer; coral symbionts; antibiotics; coral bleaching; disease; pigment production; chemical defense</t>
  </si>
  <si>
    <t>ANTARCTIC SOFT CORALS; ANTIMICROBIAL ACTIVITY; MARINE BACTERIUM; SP-NOV.; SCLERACTINIAN CORALS; DISEASE; CLIMATE; COMMUNITIES; DIVERSITY; ECOLOGY</t>
  </si>
  <si>
    <t>Caribbean populations of the elkhorn coral Acropora palmata have declined due to environmental stress, bleaching, and disease. Potential sources of coral mortality include invasive microbes that become trapped in the surface mucus and thrive under conditions of increased coral stress. In this study, mucus from healthy A. palmata inhibited growth of potentially invasive microbes by up to 10-fold. Among cultured bacteria from the mucus of A. palmata, 20% displayed antibiotic activity against one or more tester strains, including the pathogen implicated in white pox disease. A novel mucus-mediated selection for coral symbionts revealed a discrete subset of bacteria and selected for isolates that produce antibiotics. This result suggests that coral mucus plays a role in the structuring of beneficial coral-associated microbial communities and implies a microbial contribution to the antibacterial activity described for coral mucus. Interestingly, antibiotic activity was lost when mucus was collected during a summer bleaching event. Isolates from apparently healthy A. palmata tissue during this event lacked antibiotic-producing bacteria and were dominated by members of the genus Vibrio, including species implicated in temperature-dependent bleaching of corals worldwide. This indicates an environmental shift from beneficial bacteria, and variability in the protective qualities of coral mucus, which may lead to an overgrowth of opportunistic microbes when temperatures increase. Finally, coral mucus inhibited antibiotic activity and pigment production in a potentially invasive bacterium, illustrating that coral mucus may inactivate mechanisms used for bacterial niche establishment.</t>
  </si>
  <si>
    <t>Mote Marine Lab, Ctr Coral Reef Res, Sarasota, FL 34236 USA</t>
  </si>
  <si>
    <t>Mote Marine Laboratory &amp; Aquarium</t>
  </si>
  <si>
    <t>Ritchie, KB (corresponding author), Mote Marine Lab, Ctr Coral Reef Res, 1600 Ken Thompson Pkwy, Sarasota, FL 34236 USA.</t>
  </si>
  <si>
    <t>ritchie@mote.org</t>
  </si>
  <si>
    <t>10.3354/meps322001</t>
  </si>
  <si>
    <t>098JD</t>
  </si>
  <si>
    <t>WOS:000241515900001</t>
  </si>
  <si>
    <t>Gili, JM; Rossi, S; Pagès, F; Orejas, C; Teixidó, N; Lopez-Gonzalez, PJ; Arntz, WE</t>
  </si>
  <si>
    <t>Gili, J. -M; Rossi, S.; Pages, F.; Orejas, C.; Teixido, N.; Lopez-Gonzalez, P. J.; Arntz, W. E.</t>
  </si>
  <si>
    <t>A new trophic link between the pelagic and benthic systems on the Antarctic shelf</t>
  </si>
  <si>
    <t>bentho-pelagic coupling; Antarctic; salps; octocorals; benthic suspension feeders; trophic links</t>
  </si>
  <si>
    <t>DIEL VERTICAL MIGRATION; WEDDELL SEA; SALPA-THOMPSONI; ICE-EDGE; COMMUNITIES; ZOOPLANKTON; WATERS; LIPIDS; OCEAN</t>
  </si>
  <si>
    <t>During the expeditions EASIZ 11 and EASIZ III carried out off the Antarctic Peninsula with RV 'Polarstern', a prey, until now never registered, was observed in the gastrovascular cavities of octocorallian Anthomastus bathyproctus colonies. A. bathyproctus gastrovascular contents contained salps of the species Salpa thompsoni in 83 to 88 % of the colonies. Salps represented almost 100 % of the prey items found in the octocorallian polyps. Salp chains were observed drifting just above the sediment. These chains undertook vertical migrations down to a depth of 700 m, reaching the seafloor. The captured salps had stomachs full of microplanktic prey, mainly diatoms and other phytoplankton cells. Fatty acids, considered to be of diatom origin, were detected in the stomachs of salps and in their tunica, The presence of such signature lipids was also detected in the octocorallian coenenchyme, although their concentration was considerably lower. These results suggest that salps may play an important role as a direct grazer of the phytoplankton produced in the top layers of the water column which, in turn, would be directly transferred to A. bathyproctus. An important part of the fresh contents of the salps will be assimilated by the octocorallians. Primary production is captured by a benthic suspension feeder through the grazer, bypassing the faecal pellet rain. The combined filtering activity and vertical migration of salps produces an 'elevator effect', which reduces the loss of energy through this short food chain, thus making the exchange between top and bottom layers more efficient.</t>
  </si>
  <si>
    <t>CSIC, Inst Ciencias Mar, E-08003 Barcelona, Spain; Univ Seville, Fac Biol, Dept Fisiol, E-41012 Seville, Spain; Alfred Wegener Inst Polar &amp; Marine Res, D-27568 Bremerhaven, Germany</t>
  </si>
  <si>
    <t>Consejo Superior de Investigaciones Cientificas (CSIC); CSIC - Centro Mediterraneo de Investigaciones Marinas y Ambientales (CMIMA); CSIC - Instituto de Ciencias del Mar (ICM); University of Sevilla; Helmholtz Association; Alfred Wegener Institute, Helmholtz Centre for Polar &amp; Marine Research</t>
  </si>
  <si>
    <t>Gili, JM (corresponding author), CSIC, Inst Ciencias Mar, Passeig Maritim Barceloneta 37-49, E-08003 Barcelona, Spain.</t>
  </si>
  <si>
    <t>Lopez-González, Pablo J./Y-6440-2018; Orejas, Covadonga/B-1644-2012</t>
  </si>
  <si>
    <t>Lopez-González, Pablo J./0000-0002-7348-6270; Orejas Saco del Valle, Covadonga/0000-0002-2580-1002; Rossi, Sergio/0000-0003-4402-3418; Teixido, Nuria/0000-0001-9286-2852</t>
  </si>
  <si>
    <t>10.3354/meps322043</t>
  </si>
  <si>
    <t>Green Published, Green Submitted, Bronze</t>
  </si>
  <si>
    <t>WOS:000241515900004</t>
  </si>
  <si>
    <t>Ikeda, T; Sano, F; Yamaguchi, A; Matsuishi, T</t>
  </si>
  <si>
    <t>Ikeda, Tsutomu; Sano, Fumikazu; Yamaguchi, Atsushi; Matsuishi, Takashi</t>
  </si>
  <si>
    <t>Metabolism of mesopelagic and bathypelagic copepods in the western North Pacific Ocean</t>
  </si>
  <si>
    <t>mesopelagic; bathypelagic; copepods; respiration; ETS activity; western North Pacific</t>
  </si>
  <si>
    <t>ELECTRON-TRANSPORT-SYSTEM; OXYGEN-CONSUMPTION RATES; CHEMICAL-COMPOSITION; PELAGIC COPEPODS; VERTICAL-DISTRIBUTION; MIDWATER CRUSTACEANS; NEOCALANUS-CRISTATUS; OYASHIO REGION; BODY-MASS; SEA</t>
  </si>
  <si>
    <t>Respiration (= oxygen consumption) rates and electron transport system (ETS) enzyme activities in conjunction with body carbon and nitrogen composition (for respiration) or protein (for ETS) were determined for over 50 copepod species from the mesopelagic (M; 500 to 1000 m), upper-bathypelagic (UB; 1000 to 2000 m) and lower-bathypelagic (LB; 2000 to 3000 m) zones of the western subarctic Pacific. Calculated specific respiration rates (SR, a fraction of body carbon respired) at in situ temperatures (3, 2 and 1.5 degrees C for the M, UB and LB zones, respectively) were greater for the M zone copepods (mean: 1.1% body C d(-1)) than that for the UB and LB zone copepods (both 0.6% body C d(-1)). Respiration rates adjusted to those at 1 degrees C by using a Q(10) value (2.0), and to those of specimens with 1 mg body nitrogen by using a body mass exponent (0.8) (e.g. adjusted metabolic rates, AMR, in mu l O-2 (mg body N)(-0.8) h(-1)) were also greater for the M zone copepods than for the UB and LB zone copepods. ETS activities, measured as mu l O-2 (Mg protein)(-0.8) h(-1), showed the same depth-related decline from the M zone to the LB zone. Stepwise regression analysis revealed that stage/sex, feeding type and/or reaction speeds (as judged by the presence/absence of myelin sheath enveloping axons) of copepods were possible additional variables affecting their respiration rates and ETS activities. The reduction in respiration rates and ETS activities from the M zone to the UB or LB zone is more pronounced when respiration rate data on Arctic/Antarctic epipelagic copepods is added; the same is true for ETS activities when respiration rate data is added from copepods dominant in the subarctic Pacific. The present results are compared with those of micronektonic crustaceans and fishes reported for specimens collected from 500 to 2000 m in other regions and discussed in the light of the 'visual interactions' hypothesis.</t>
  </si>
  <si>
    <t>Hokkaido Univ, Grad Sch Fisheries Sci, Hakodate, Hokkaido 0418611, Japan</t>
  </si>
  <si>
    <t>Hokkaido University</t>
  </si>
  <si>
    <t>Ikeda, T (corresponding author), Hokkaido Univ, Grad Sch Fisheries Sci, Hakodate, Hokkaido 0418611, Japan.</t>
  </si>
  <si>
    <t>tom@pop.fish.hokudai.ac.jp</t>
  </si>
  <si>
    <t>Yamaguchi, Atsushi/A-8613-2012; MATSUISHI, Takashi Fritz/C-7005-2012</t>
  </si>
  <si>
    <t>Yamaguchi, Atsushi/0000-0002-5646-3608; MATSUISHI, Takashi Fritz/0000-0003-0884-3523</t>
  </si>
  <si>
    <t>10.3354/meps322199</t>
  </si>
  <si>
    <t>WOS:000241515900017</t>
  </si>
  <si>
    <t>Martin, DL; Ross, RM; Quetin, LB; Murray, AE</t>
  </si>
  <si>
    <t>Martin, Daniel L.; Ross, Robin M.; Quetin, Langdon B.; Murray, Alison E.</t>
  </si>
  <si>
    <t>Molecular approach (PCR-DGGE) to diet analysis in young Antarctic krill Euphausia superba</t>
  </si>
  <si>
    <t>Antarctic krill; Euphausia superba; diet; DGGE; 18S rDNA; sea ice microbial community; omnivory</t>
  </si>
  <si>
    <t>GRADIENT GEL-ELECTROPHORESIS; POLYMERASE-CHAIN-REACTION; LARVAL KRILL; DNA; IDENTIFICATION; DIVERSITY; COMMUNITY; GENES; PREY; SEA</t>
  </si>
  <si>
    <t>Antarctic krill Euphausia superba Dana comprise a key component of the Southern Ocean food web, yet despite decades of research, questions concerning the regional, seasonal and ontogenetic differences in their diet remain. All current methods used to characterize krill diet have limitations for identifying the full complement of the diet. Using DNA as a marker molecule, our goal in this study has been to evaluate the efficacy of a PCR-DGGE (denaturing gradient gel electrophoresis) approach targeting the 18S rDNA gene to discriminate among diet constituents in gut and fecal pellet samples from young Antarctic krill relative to their feeding environment-the seawater and sea ice microbial community. We conducted 2 laboratory-based feeding experiments with known food items and 3 field samplings of both the krill and their feeding environment. Sequenced PCR-DGGE phylotypes from laboratory trials clearly distinguished diatom and copepod prey, while in situ feeding analyses revealed that a broad diversity of taxa were ingested, including diatoms (Bacillariophyta, the most prevalent group detected), dinoflagellates, cryptomonads, prasinophytes, ciliates, cercozoans, choanoflagellates, turbellarians and (possibly) sponge larvae. Band image analyses allowed environmental and diet phylotypes to be matched. On average, 32% of those from the environment were present in the diet; conversely, of the phylotypes detected in the diet, an average of 59% were in common with the environment. Changes in environmental phylotypes among sampling dates were reflected by similar changes in the krill diet as potential prey diversity (richness) decreased during a phytoplankton bloom.</t>
  </si>
  <si>
    <t>Desert Res Inst, Reno, NV 89512 USA; Univ Calif Santa Barbara, Inst Marine Sci, Santa Barbara, CA 93106 USA</t>
  </si>
  <si>
    <t>Nevada System of Higher Education (NSHE); Desert Research Institute NSHE; University of California System; University of California Santa Barbara</t>
  </si>
  <si>
    <t>Murray, AE (corresponding author), Desert Res Inst, 2215 Raggio Pkwy, Reno, NV 89512 USA.</t>
  </si>
  <si>
    <t>alison@dri.edu</t>
  </si>
  <si>
    <t>10.3354/meps319155</t>
  </si>
  <si>
    <t>092NA</t>
  </si>
  <si>
    <t>WOS:000241102600014</t>
  </si>
  <si>
    <t>Peck, LS; Clarke, A; Chapman, AL</t>
  </si>
  <si>
    <t>Peck, Lloyd S.; Clarke, Andrew; Chapman, Alice L.</t>
  </si>
  <si>
    <t>Metabolism and development of pelagic larvae of Antarctic gastropods with mixed reproductive strategies</t>
  </si>
  <si>
    <t>gastropod; larva; veliger; brooding; oxygen consumption; Antarctic</t>
  </si>
  <si>
    <t>MARINE INVERTEBRATE EMBRYOS; ENERGY-METABOLISM; COLD-WATER; TEMPERATURE; LIFE; ENCAPSULATION; ABUNDANCE; MOLLUSKS; GROWTH</t>
  </si>
  <si>
    <t>The Antarctic gastropods Marseniopsis mollis (Smith, 1902) and Torellia mirabilis (Smith, 1907) lay eggs in the late austral summer and autumn; these hatch the following late winter and early summer. Field observations indicate that M. mollis lays eggs in the tests of ascidians in January to March. Ascidians with M. mollis broods were collected in April and held in culture. Larvae hatched between mid-October and mid-December, a brooding period of 8 to 11 mo. T. mirabilis egg masses laid in aquaria in April took 6 to 7 mo to hatch. Both species released large veliger larvae (presumably planktotrophic). Natural phytoplankton were provided, but feeding was not confirmed. These larvae were maintained in culture for 25 to 50 d, during which period they were regularly offered a range of substrata, but no settlement behaviour was observed. Metabolism was estimated in individual larvae using microrespirometers of 30 to 45 mu l volume, and a couloximeter system to measure water oxygen-content. Average M. mollis veligers contained 14.1 mu g ash-free dry mass (AFDM) and consumed 310 pmol O-2 h(-1). Corresponding values for T. mirabilis veligers were 17.6 mu g AFDM and 221 pmol O-2 h(-1). The periods of protected development here were shorter than those previously reported for Antarctic gastropods, including T. mirabilis, by a factor of x4, although previous reports were for species hatching as juveniles. The protected periods here were, however, around 5 time longer than for temperate gastropods. The oxygen-consumption rates for M. mollis and T. mirabilis veligers were around x10 less than those for comparable temperate gastropod and bivalve veligers.</t>
  </si>
  <si>
    <t>Peck, LS (corresponding author), British Antarctic Survey, NERC, High Cross,Madingley Rd, Cambridge CB3 0ET, England.</t>
  </si>
  <si>
    <t>l.peck@bas.ac.uk</t>
  </si>
  <si>
    <t>10.3354/meps318213</t>
  </si>
  <si>
    <t>082ER</t>
  </si>
  <si>
    <t>WOS:000240370000018</t>
  </si>
  <si>
    <t>Scolardi, KM; Daly, KL; Pakhomov, EA; Torres, JJ</t>
  </si>
  <si>
    <t>Scolardi, Kerri M.; Daly, Kendra L.; Pakhomov, Evgeny A.; Torres, Joseph J.</t>
  </si>
  <si>
    <t>Feeding ecology and metabolism of the Antarctic cydippid ctenophore Callianira antarctica</t>
  </si>
  <si>
    <t>Antarctic zooplankton; ctenophore; krill; copepod; digestion time; daily ration; gut contents; overwintering</t>
  </si>
  <si>
    <t>MERTENSIA-OVUM FABRICIUS; EUPHAUSIA-SUPERBA; PREY SELECTION; GELATINOUS ZOOPLANKTON; NUTRITIONAL ECOLOGY; MNEMIOPSIS-MCCRADYI; PREDATORY IMPACT; ELEMENTAL COMPOSITION; PLEUROBRACHIA-PILEUS; CHEMICAL-COMPOSITION</t>
  </si>
  <si>
    <t>The chemical composition, metabolism, and feeding ecology of the cydippid ctenophore Callianira antarctica (Chun 1897) were investigated during autumn and winter 2001 and 2002 in the vicinity of Marguerite Bay, an embayment on the western Antarctic Peninsula shelf. C. an tarctica had relatively high carbon (C) and nitrogen (N) values (average: 8.4% C and 1.8% N [% dry weight, DW]), further suggesting that polar ctenophores are more C-rich than tropical species. Winter oxygen consumption and ammonium excretion rates ranged from 0.059 to 0.411 mu l O-2 mg(-1) DW h(-1) and 0.043 to 2.22 nmol N mg(-1) DW h(-1), respectively, at 0 degrees C. Calanoid copepods, larval and juvenile Antarctic krill Euphausia superba and a mixture of prey were offered to ctenophores during feeding incubations. Ingestion rates based on preliminary feeding experiments were linearly related to prey densities, with rates ranging from 9 to 39 prey ind.(-1) d(-1) and from 3.5 to 4.0 prey ind.(-1) d(-1) for 1 larger and I smaller C. antarctica, respectively. Daily rations varied between 22 and 136% of body C for the larger ctenophore and 6 to 22 % of body C for the smaller individual. Digestion time (median: 11.5 h) was dependent on prey elemental content and prey number, and was independent of ctenophore size. Gut content analyses indicated that C. antarctica preyed predominantly on larval euphausiids and copepods. Diver observations, net collections, and diet analyses suggest that this species is an opportunistic predator that feeds both during the day and night, and appears to be well adapted to the prey patchiness found in Antarctic waters.</t>
  </si>
  <si>
    <t>Univ S Florida, Coll Marine Sci, St Petersburg, FL 33701 USA; Univ Ft Hare, Fac Sci &amp; Technol, Dept Zool, ZA-5700 Alice, South Africa</t>
  </si>
  <si>
    <t>State University System of Florida; University of South Florida; University of Fort Hare</t>
  </si>
  <si>
    <t>Scolardi, KM (corresponding author), Mote Marine Lab, 1600 Ken Thompson Pkwy, Sarasota, FL 34237 USA.</t>
  </si>
  <si>
    <t>scolardi@mote.org</t>
  </si>
  <si>
    <t>Scolardi, Kerri M./0009-0000-5927-7790</t>
  </si>
  <si>
    <t>10.3354/meps317111</t>
  </si>
  <si>
    <t>075PB</t>
  </si>
  <si>
    <t>WOS:000239896600011</t>
  </si>
  <si>
    <t>Friedlaender, AS; Halpin, PN; Qian, SS; Lawson, GL; Wiebe, PH; Thiele, D; Read, AJ</t>
  </si>
  <si>
    <t>Friedlaender, Ari S.; Halpin, Pat N.; Qian, Song S.; Lawson, Gareth L.; Wiebe, Peter H.; Thiele, Deb; Read, Andrew J.</t>
  </si>
  <si>
    <t>Whale distribution in relation to prey abundance and oceanographic processes in shelf waters of the Western Antarctic Peninsula</t>
  </si>
  <si>
    <t>whale distribution; zooplankton; ice edge; Antarctica; SO GLOBEC; CART; GAM</t>
  </si>
  <si>
    <t>SEA-ICE EXTENT; MARGUERITE BAY; CETACEAN DISTRIBUTIONS; SEASONAL VARIABILITY; CONTINENTAL-SHELF; FORAGING BEHAVIOR; MINKE WHALES; AUSTRAL FALL; HABITAT; KRILL</t>
  </si>
  <si>
    <t>The Western Antarctic Peninsula (WAP) is a biologically rich area supporting large standing stocks of krill and top predators (including whales, seals and seabirds). Physical forcing greatly affects productivity, recruitment, survival and distribution of krill in this area. In turn, such interactions are likely to affect the distribution of baleen whales. The Southern Ocean GLOBEC research program aims to explore the relationships and interactions between the environment, krill and predators around Marguerite Bay (WAP) in autumn 2001 and 2002. Bathymetric and environmental variables including acoustic backscattering as an indicator of prey abundance were used to model whale distribution patterns. We used an iterative approach employing (1) classification and regression tree (CART) models to identify oceanographic and ecological variables contributing to variability in humpback Megaptera novaeangliae and minke Balaenoptera acutorstrata whale distribution, and (2) generalized additive models (GAMs) to elucidate functional ecological relationships between these variables and whale distribution. The CART models indicated that the cetacean distribution was tightly coupled with zooplankton acoustic volume backscatter in the upper (25 to 100 m), and middle (100 to 300 m) portions of the water column. Whale distribution was also related to distance from the ice edge and bathymetric slope. The GAMs indicated a persistent, strong, positive relationship between increasing zooplankton volume and whale relative abundance. Furthermore, there was a lower limit for averaged acoustic volume backscatter of zooplankton below which the relationship between whales and prey was not significant. The GAMs also supported an annual relationship between whale distribution, distance from the ice edge and bathymetric slope, suggesting that these are important features for aggregating prey. Our results demonstrate that during the 2 yr study, whales were consistently and predictably associated with the distribution of zooplankton. Thus, humpback and minke whales may be able to locate physical features and oceanographic processes that enhance prey aggregation.</t>
  </si>
  <si>
    <t>Duke Univ, Marine Lab, Beaufort, NC 28516 USA; Duke Univ, Nicholas Sch Environm &amp; Earth Sci, Durham, NC 27708 USA; Woods Hole Oceanog Inst, Woods Hole, MA 02543 USA; Deakin Univ, Sch Ecol &amp; Environm, Warrnambool, Vic 3280, Australia</t>
  </si>
  <si>
    <t>Duke University; Duke University; Woods Hole Oceanographic Institution; Deakin University</t>
  </si>
  <si>
    <t>Friedlaender, AS (corresponding author), Duke Univ, Marine Lab, 135 Pivers Isl Rd, Beaufort, NC 28516 USA.</t>
  </si>
  <si>
    <t>asf7@duke.edu</t>
  </si>
  <si>
    <t>Qian, Song/A-3163-2008; Read, Andrew/AAE-8386-2019; Qian, Song S./I-6544-2012</t>
  </si>
  <si>
    <t>Qian, Song/0000-0002-2346-4903; Wiebe, Peter/0000-0002-6059-4651</t>
  </si>
  <si>
    <t>10.3354/meps317297</t>
  </si>
  <si>
    <t>Bronze, Green Published, Green Submitted</t>
  </si>
  <si>
    <t>WOS:000239896600026</t>
  </si>
  <si>
    <t>Bowden, DA; Clarke, A; Peck, LS; Barnes, DKA</t>
  </si>
  <si>
    <t>Bowden, David A.; Clarke, Andrew; Peck, Lloyd S.; Barnes, David K. A.</t>
  </si>
  <si>
    <t>Antarctic sessile marine benthos: colonisation and growth on artificial substrata over three years</t>
  </si>
  <si>
    <t>marine benthos; settlement panels; polar habitat; assemblage succession; growth; disturbance</t>
  </si>
  <si>
    <t>LIMPET NACELLA-CONCINNA; CORAL-REEF COMMUNITIES; FOOD AVAILABILITY; HARD SUBSTRATA; COLONY GROWTH; SIGNY ISLAND; SEASONALITY; TEMPERATURE; RECRUITMENT; ICE</t>
  </si>
  <si>
    <t>The development of sessile invertebrate assemblages on hard substrata has been studied extensively in temperate and tropical latitudes. Such studies provide insights into a range of ecological processes, and the global similarity of taxa recruiting to these assemblages affords the potential for regional-scale comparisons. However, few data exist for high latitude assemblages. This paper presents the first regularly resurveyed study of benthic colonisation from within the Antarctic Circle. Acrylic panels were deployed horizontally on the seabed at 8 and 20 m depths at each of 3 locations in Ryder Bay, Adelaide Island, SW Antarctic Peninsula (67 degrees 35'S, 68 degrees 10'W). Assemblages colonising upward- and downward-facing panel surfaces were photographed in situ from February 2001 to March 2004. Assemblages were dominated by bryozoans and spirorbid polychaetes. Total coverage after 3 yr ranged from 6 to 100 % on downward-facing surfaces but was &lt; 10 % on all upward-facing surfaces. Overall colonisation rates were up to 3 times slower than comparable temperate latitude assemblages but showed unexpected similarities with a tropical assemblage. Growth in most taxa was highly seasonal and maximum growth rates of encrusting bryozoans were 5 to 10 times slower than literature values for temperate species, suggesting rate limitation by cold rather than food availability. Assemblage development was controlled predominantly by post-settlement disturbances, and there was considerable variability between locations associated with differences in disturbance history. Ice impact was significant only at 8 m but biotic disturbances exerted a stronger and more consistent influence on assemblage development at all sites. It is suggested that the combination of slow growth rates and strong environmental seasonality results in succession being more predictable than in comparable temperate or tropical assemblages.</t>
  </si>
  <si>
    <t>British Antarctic Survey, Natl Environm Res Council, Cambridge CB3 0ET, England</t>
  </si>
  <si>
    <t>Bowden, DA (corresponding author), British Antarctic Survey, Natl Environm Res Council, High Cross,Madingley Rd, Cambridge CB3 0ET, England.</t>
  </si>
  <si>
    <t>davidabowden@gmail.com</t>
  </si>
  <si>
    <t>Natural Environment Research Council [dml011000] Funding Source: researchfish; NERC [dml011000] Funding Source: UKRI</t>
  </si>
  <si>
    <t>10.3354/meps316001</t>
  </si>
  <si>
    <t>070HN</t>
  </si>
  <si>
    <t>WOS:000239512600001</t>
  </si>
  <si>
    <t>Kaehler, S; Pakhomov, EA; Kalin, RM; Davis, S</t>
  </si>
  <si>
    <t>Kaehler, S.; Pakhomov, E. A.; Kalin, R. M.; Davis, S.</t>
  </si>
  <si>
    <t>Trophic importance of kelp-derived suspended particulate matter in a through-flow sub-Antarctic system</t>
  </si>
  <si>
    <t>kelp; suspended particulate matter; SPM; tropic subsidy; sub-Antarctic; stable isotopes</t>
  </si>
  <si>
    <t>PRINCE-EDWARD-ISLANDS; SOUTHERN-OCEAN; DELTA-C-13 MEASUREMENTS; DELTA-N-15 ANALYSIS; FOOD-WEB; MARINE; CONSUMERS; DETRITUS; ECOSYSTEMS; DEPENDENCE</t>
  </si>
  <si>
    <t>Spatial dynamics of surface chlorophyll concentrations, diatom abundance and carbon and nitrogen stable isotope signatures of surface suspended particulate matter (SPM) were investigated during a bloom event observed in March 2003 in the vicinity of the sub-Antarctic Prince Edward Islands. The surface water composition was studied to estimate the overall importance and spatial extent of kelp derived SPM in the water column of the islands. It was observed that high chlorophyll concentrations (up to 2 mg m(-3)) between and downstream of the islands could not be explained by the development of the diatom bloom. Instead, microscopic and stable isotope analyses suggested that the chlorophyll signal was largely derived from the residual chlorophyll in fresh and decaying particles of small fragments of the kelp Macrocystis laevis, an endemic kelp species abundant along the shoreline of the islands. The findings of this study suggest that the dietary subsidy of kelp-derived carbon and nitrogen to benthic communities and possibly the plankton is not limited to the vicinity of kelp beds, but rather is a widespread phenomenon between the islands. Due to the dominating unidirectional Antarctic Circumpolar Current, large quantities of kelp-derived SPM may be transported and utilised tens of kilometres downstream of the islands.</t>
  </si>
  <si>
    <t>Univ Ft Hare, Fac Sci &amp; Technol, Dept Zool, ZA-5700 Alice, South Africa; Univ British Columbia, Dept Earth &amp; Ocean Sci, Vancouver, BC V6T 1Z4, Canada; Univ Ft Hare, Fac Sci &amp; Technol, Dept Zool, ZA-5700 Alice, South Africa; Queens Univ Belfast, Environm Engn Res Ctr, Belfast BT9 5AG, Antrim, North Ireland</t>
  </si>
  <si>
    <t>University of Fort Hare; University of British Columbia; University of Fort Hare; Queens University Belfast</t>
  </si>
  <si>
    <t>Kaehler, S (corresponding author), Univ Ft Hare, Fac Sci &amp; Technol, Dept Zool, ZA-5700 Alice, South Africa.</t>
  </si>
  <si>
    <t>s.kaehler@ru.ac.za</t>
  </si>
  <si>
    <t>Kalin, Robert/E-8620-2011</t>
  </si>
  <si>
    <t>Kalin, Robert/0000-0003-3768-3848</t>
  </si>
  <si>
    <t>10.3354/meps316017</t>
  </si>
  <si>
    <t>WOS:000239512600002</t>
  </si>
  <si>
    <t>Kaschner, K; Watson, R; Trites, AW; Pauly, D</t>
  </si>
  <si>
    <t>Kaschner, K.; Watson, R.; Trites, A. W.; Pauly, D.</t>
  </si>
  <si>
    <t>Mapping world-wide distributions of marine mammal species using a relative environmental suitability (RES) model</t>
  </si>
  <si>
    <t>habitat suitability modeling; marine mammals; global; GIS; relative environmental suitability; niche model; distribution</t>
  </si>
  <si>
    <t>NORTH-ATLANTIC RIGHT; SEALS CYSTOPHORA-CRISTATA; SPERM-WHALE DISTRIBUTION; LIONS OTARIA-FLAVESCENS; FUR SEALS; DIVING BEHAVIOR; CETACEAN DISTRIBUTION; SOUTHERN SEA; OMMATOPHOCA-ROSSII; MONODON-MONOCEROS</t>
  </si>
  <si>
    <t>The lack of comprehensive sighting data sets precludes the application of standard habitat suitability modeling approaches to predict distributions of the majority of marine mammal species on very large scales. As an alternative, we developed an ecological niche model to map global distributions of 115 cetacean and pinniped species living in the marine environment using more readily available expert knowledge about habitat usage. We started by assigning each species to broad-scale niche categories with respect to depth, sea-surface temperature, and ice edge association based on synopses of published information. Within a global information system framework and a global grid of 0.5' latitude/longitude cell dimensions, we then generated an index of the relative environmental suitability (RES) of each cell for a given species by relating known habitat usage to local environmental conditions. RES predictions closely matched published maximum ranges for most species, thus representing useful, more objective alternatives to existing sketched distributional outlines. In addition, raster-based predictions provided detailed information about heterogeneous patterns of potentially suitable habitat for species throughout their range. We tested RES model outputs for 11 species (northern fur seal, harbor porpoise, sperm whale, killer whale, hourglass dolphin, fin whale, humpback whale, blue whale, Antarctic minke, and dwarf minke whales) from a broad taxonomic and geographic range, using data from dedicated surveys. Observed encounter rates and species-specific predicted environmental suitability were significantly and positively correlated for all but 1 species. In comparison, encounter rates were correlated with &lt; 1 % of 1000 simulated random data sets for all but 2 species. Mapping of large-scale marine mammal distributions using this environmental envelope model is helpful for evaluating current assumptions and knowledge about species' occurrences, especially for data-poor species. Moreover, RES modeling can help to focus research efforts on smaller geographic scales and usefully supplement other, statistical, habitat suitability models.</t>
  </si>
  <si>
    <t>Univ British Columbia, Fisheries Ctr, Sea Around US Project, Vancouver, BC V6T 1Z4, Canada; Univ British Columbia, Fisheries Ctr, Marine Mammal Res Unit, Vancouver, BC V6T 1Z4, Canada; Forsch &amp; Technol Zentrum Westkuste, D-25761 Busum, Germany</t>
  </si>
  <si>
    <t>University of British Columbia; University of British Columbia</t>
  </si>
  <si>
    <t>Kaschner, K (corresponding author), Univ British Columbia, Fisheries Ctr, Sea Around US Project, 2259 Lower Mall, Vancouver, BC V6T 1Z4, Canada.</t>
  </si>
  <si>
    <t>kaschner@zoology.ubc.ca</t>
  </si>
  <si>
    <t>Kaschner, Kristin/GQQ-6475-2022; Trites, Andrew/K-5648-2012; Watson, Reg A/F-4850-2012; Pauly, Daniel Marc/AAY-2316-2021</t>
  </si>
  <si>
    <t>Watson, Reg A/0000-0001-7201-8865; Trites, Andrew/0000-0003-0342-5322; Kaschner, Kristin/0000-0002-4061-626X</t>
  </si>
  <si>
    <t>10.3354/meps316285</t>
  </si>
  <si>
    <t>WOS:000239512600026</t>
  </si>
  <si>
    <t>Buma, AGJ; Wright, SW; van den Enden, R; van de Poll, WH; Davidson, AT</t>
  </si>
  <si>
    <t>Buma, Anita G. J.; Wright, Simon W.; van den Enden, Rick; van de Poll, Willem H.; Davidson, Andrew T.</t>
  </si>
  <si>
    <t>PAR acclimation and UVBR-induced DNA damage in Antarctic marine microalgae</t>
  </si>
  <si>
    <t>DNA damage; xanthophyll pigments; Antarctic microalgae; malondialdehyde; MDA; photoacclimation; UVBR; CPDs</t>
  </si>
  <si>
    <t>ULTRAVIOLET-B RADIATION; AMINO-ACIDS MAAS; ABSORBING COMPOUNDS; OXIDATIVE STRESS; THALASSIOSIRA-PSEUDONANA; PHAEOCYSTIS-ANTARCTICA; MICROBIAL ASSEMBLAGES; ALEXANDRIUM-EXCAVATUM; POLARELLA-GLACIALIS; AQUATIC ORGANISMS</t>
  </si>
  <si>
    <t>Whether or not it is related to stratospheric ozone depletion, Antarctic microalgae experience ultraviolet-B radiation (UVBR) stress in situ, leading to decreased photosynthetic performance, DNA damage, and/or altered community composition. UVBR vulnerability is known to be species specific, but may also be affected by a range of environmental growth conditions, including the light history of the cells. This study investigates the influence of acclimation to photosynthetically active radiation (PAR) on the vulnerability to UVBR-induced DNA damage in Antarctic microalgae. Chaetoceros dichaeta, Pyramimonas gelidicola, Phaeocystis antarctica and Polarella glacialis were acclimated to 5 PAR levels, after which growth rate, pigment composition, malondialdehyde (MDA, a general indicator of oxidative stress) and UV-absorbing compounds were measured. Photoacclimated cultures were then exposed to a single UVBR treatment and the accumulation of UVBR-induced DNA damage was determined by the number of cyclobutane pyrimidine dimers (CPDs). Acclimation to increasing irradiance enhanced both the xanthophyll to chlorophyll a ratio and xanthophyll deepoxidation in all species. Increased cellular MDA levels were found at the highest irradiance in all species except P. gelidicola. Yet, growth rates were only reduced at the 2 lowest PAR levels. P. antarctica and P. glacialis showed a strong linear induction of UV-absorbing compounds at increasing PAR intensities, whereas P. gelidicola showed no induction of these compounds. The UVBR treatment induced CPDs in P. gelidicola only, and CPD levels were elevated at the highest PAR acclimation intensities. Thus, sensitivity to UVB-induced CPD accumulation was species specific, and, counterintuitively, acclimation to high PAR increased the sensitivity of P. gelidicola to UVB-induced DNA damage.</t>
  </si>
  <si>
    <t>Univ Groningen, Ctr Ecol &amp; Evolutionary Studies, Dept Ocean Ecosyst, NL-9750 AA Haren, Netherlands; Australian Antarctic Div, Kingston, Tas 7050, Australia; Antarctic Climate &amp; Ecosyst Cooperat Res Ctr, Kingston, Tas 7050, Australia</t>
  </si>
  <si>
    <t>University of Groningen; Australian Antarctic Division; Antarctic Climate &amp; Ecosystems Cooperative Research Centre (ACE CRC)</t>
  </si>
  <si>
    <t>Buma, AGJ (corresponding author), Univ Groningen, Ctr Ecol &amp; Evolutionary Studies, Dept Ocean Ecosyst, Kerklaan 30, NL-9750 AA Haren, Netherlands.</t>
  </si>
  <si>
    <t>a.g.j.buma@rug.nl</t>
  </si>
  <si>
    <t>Buma, Anita GJ/E-8372-2015</t>
  </si>
  <si>
    <t>van de Poll, Willem/0000-0003-4095-4338</t>
  </si>
  <si>
    <t>10.3354/meps315033</t>
  </si>
  <si>
    <t>066PI</t>
  </si>
  <si>
    <t>WOS:000239241800004</t>
  </si>
  <si>
    <t>Nevitt, GA; Bergstrom, DM; Bonadonna, F</t>
  </si>
  <si>
    <t>Nevitt, Gabrielle A.; Bergstrom, Dana M.; Bonadonna, Francesco</t>
  </si>
  <si>
    <t>The potential role of ammonia as a signal molecule for procellarifform seabirds</t>
  </si>
  <si>
    <t>petrel; ammonia; homing; foraging; Antarctic; navigation</t>
  </si>
  <si>
    <t>HALOBAENA-CAERULEA; BLUE PETRELS; OLFACTORY NAVIGATION; EUPHAUSIA-SUPERBA; DIMETHYL SULFIDE; ZOOPLANKTON; RECOGNITION; DISCRIMINATION; ATMOSPHERE; MECHANISM</t>
  </si>
  <si>
    <t>Procellariiform seabirds (petrels, albatrosses and shearwaters) navigate vast distances over seemingly featureless ocean habitat by mechanisms that are not well understood. These birds have large olfactory bulbs, and the use of smell has been implicated in both foraging and homing behavior. While many olfactory cues relevant to these behaviors have been identified, ammonia is a potentially significant, biogenic, scented compound that has not been studied in this context. Ammonium (NH4+) constitutes a primary waste product produced by many of the prey species on which procellariiforms forage. Nitrogen waste products, including volatilized ammonia (NH3) also scent the terrestrial landscape of sub-Antarctic islands where newly breeding procellariiform seabirds recruit and raise their young. Since an ability to smell ammonia may be relevant to both prey detection and locating colonies or islands, we used a non-invasive, behavioral assay to examine whether this scented compound is detectable by a candidate test species, the blue petrel Halobaena caerulea Gmelin. Our results suggest that these birds can detect volatilized ammonia within a concentration range that they may naturally encounter (10(-11) to 10(-5) M), and point to ammonia as a potential signal molecule in the sub-Antarctic.</t>
  </si>
  <si>
    <t>Univ Calif Davis, Ctr Anim Behav, Sect Neurobiol, Davis, CA 95616 USA; Australian Antarctic Div, Kingston, Tas 7050, Australia; CNRS, Ctr Ecol Fonct &amp; Evolut, Behav Ecol Grp, F-34293 Montpellier 5, France</t>
  </si>
  <si>
    <t>University of California System; University of California Davis; Australian Antarctic Division; Universite PSL; Ecole Pratique des Hautes Etudes (EPHE); Institut Agro; Montpellier SupAgro; CIRAD; Centre National de la Recherche Scientifique (CNRS); Institut de Recherche pour le Developpement (IRD); Universite Paul-Valery; Universite de Montpellier</t>
  </si>
  <si>
    <t>Nevitt, GA (corresponding author), Univ Calif Davis, Ctr Anim Behav, Sect Neurobiol, Davis, CA 95616 USA.</t>
  </si>
  <si>
    <t>ganevitt@ucdavis.edu</t>
  </si>
  <si>
    <t>Bergstrom, Dana/AAC-2837-2022; Bonadonna, Francesco/A-7456-2008</t>
  </si>
  <si>
    <t>Bergstrom, Dana/0000-0001-8484-8954; Bonadonna, Francesco/0000-0002-2702-5801</t>
  </si>
  <si>
    <t>10.3354/meps315271</t>
  </si>
  <si>
    <t>WOS:000239241800024</t>
  </si>
  <si>
    <t>Barnes, DKA</t>
  </si>
  <si>
    <t>Barnes, David K. A.</t>
  </si>
  <si>
    <t>Temporal-spatial stability of competition in marine boulder fields</t>
  </si>
  <si>
    <t>hierarchies; encrusting community; latitude; scales</t>
  </si>
  <si>
    <t>ANTARCTIC BENTHIC INVERTEBRATES; INTERSPECIFIC COMPETITION; OVERGROWTH COMPETITION; ENCRUSTING BRYOZOANS; SPECIES-DIVERSITY; COMMUNITY; ECOLOGY; INTRANSITIVITY; DISTURBANCE; PREDATION</t>
  </si>
  <si>
    <t>Demonstrable examples of marine interference-competition on ecological, and particularly evolutionary, time-scales have been highly confined in space. However, studies of such competition across large-scale space are conversely mere 'snapshots' in time. The current study aimed at measuring interference-competition at multiple scales in space and time. Different aspects of interference-competition were measured in a model community (encrusters of boulder communities, e.g. ascidians, bryozoans, polychaetes and sponges) at 3 tropical, 3 temperate and 2 polar sites at intervals of days, weeks, months and years. The 3 aspects of competition measured-transitivity (hierarchicalness), number of clades involved, prevalence of interspecific encounters-varied non-significantly with time (from days to years) but significantly in space (from the tropics to the poles). Thus the strong differences observed in space are robust along ecological time-scales; boulder communities may be highly dynamic at local scales, but overall measures of interference-competition amongst their encrusters seem to vary little within a region. Why low- and high-latitude encrusting communities should differ may be linked to past selection pressures-to survive spatial competition in the more stable warm seas and to be able to recolonise from local ice-scour and regional ice sheets in the high temperate and polar realms. The results of the current study suggest that, despite being 'snapshots', the many point-in-time studies of competition in the literature are likely to be valid on ecological time-scales and thus useful for meta-analyses.</t>
  </si>
  <si>
    <t>Natural Environment Research Council [dml011000, bas010008] Funding Source: researchfish; NERC [bas010008] Funding Source: UKRI</t>
  </si>
  <si>
    <t>10.3354/meps314015</t>
  </si>
  <si>
    <t>060YG</t>
  </si>
  <si>
    <t>WOS:000238837500002</t>
  </si>
  <si>
    <t>Barnes, DKA; Webb, K; Linse, K</t>
  </si>
  <si>
    <t>Barnes, David K. A.; Webb, Karen; Linse, Katrin</t>
  </si>
  <si>
    <t>Slow growth of Antarctic bryozoans increases over 20 years and is anomalously high in 2003</t>
  </si>
  <si>
    <t>climate change; Weddell Sea; benthic organisms; check-lines; Southern Ocean; CaCO3</t>
  </si>
  <si>
    <t>MELICERITA-OBLIQUA; FOLIACEA BRYOZOA; SOUTHERN-OCEAN; CLIMATE-CHANGE; NEW-ZEALAND; SEA; ECOSYSTEMS; SEASONALITY; LONGEVITY; ISOTOPES</t>
  </si>
  <si>
    <t>Some organisms are particularly appropriate models for investigation of variability in time and space for given environments. The erect bryozoan Cellarinella nutti, an endemic Antarctic species, is one such organism: it is extremely abundant, occurs from the polar front to the Antarctic continental edge, and preserves a clear macroscopic environmental record in its skeleton (growth check lines). We studied variability in the growth of 93 C. nutti individuals at depths between 247 and 414 m, at sites 1, 10, 100 and &gt; 1000 km apart in the Weddell Sea, Antarctica. Trawled C. nutti varied from 5 to 23 yr in age, and nearly half the colonies had grown asexually from fragments. We measured the annual growth increments, which ranged from similar to 18 zooids (8.6 mg dry mass, 0.8 mg ash-free dry mass; Age 1) to similar to 130 zooids (43 mg dry mass, 2.48 mg ash-free dry mass; Age 20). At 9 yr (the modal age), each C. nutti individual had precipitated &gt; 182 mg CaCO3, and by 20 yr nearly 580 mg. C. nutti grows slowly compared with other erect bryozoans, even those in the Antarctic. We found colony and site to be insignificant factors in its growth, despite the large range of distances between sites, but year was highly significant. We found a non-linear increase in growth spanning the last 2 decades that has no obvious relation to El Nino Southern Oscillation (ENSO)-associated environmental fluctuations. In particular we found that growth in 2003 was greater than in any other year measured by a factor of 2. Given its abundance, longevity, ubiquity in Antarctic waters, insignificant spatial variability in growth, but distinct annual variability, C. nutti may prove to be an important species to investigate whether benthic organisms, as well as krill, salps and fur seals, are beginning to develop major climate-related changes in phenology.</t>
  </si>
  <si>
    <t>Barnes, DKA (corresponding author), British Antarctic Survey, NERC, High Cross, Cambridge CB3 0ET, England.</t>
  </si>
  <si>
    <t>Webb, Karen/A-5977-2010</t>
  </si>
  <si>
    <t>Natural Environment Research Council [bas010007, bas010008] Funding Source: researchfish; NERC [bas010007, bas010008] Funding Source: UKRI</t>
  </si>
  <si>
    <t>10.3354/meps314187</t>
  </si>
  <si>
    <t>WOS:000238837500017</t>
  </si>
  <si>
    <t>Zerbini, AN; Andriolo, A; Heide-Jorgensen, MP; Pizzorno, JL; Maia, YG; VanBlaricom, GR; DeMaster, DP; Simoes-Lopes, PC; Moreira, S; Bethlem, C</t>
  </si>
  <si>
    <t>Zerbini, Alexandre N.; Andriolo, Artur; Heide-Jorgensen, Mads Peter; Pizzorno, Jose Luis; Maia, Ygor G.; VanBlaricom, Glenn R.; DeMaster, Douglas P.; Simoes-Lopes, Paulo Cesar; Moreira, Sergio; Bethlem, Claudia</t>
  </si>
  <si>
    <t>Satellite-monitored movements of humpback whales Megaptera novaeangliae in the southwest Atlantic Ocean</t>
  </si>
  <si>
    <t>Megaptera novaeangliae; migration; satellite telemetry; wintering grounds; feeding grounds; South Atlantic Ocean; South Georgia; South Sandwich Islands</t>
  </si>
  <si>
    <t>BOWHEAD WHALES; POPULATION-STRUCTURE; MIGRATION; TRACKING; SEALS</t>
  </si>
  <si>
    <t>Southern Hemisphere humpback whales Megaptera novaeangliae migrate from wintering grounds in tropical latitudes to feeding areas in the Antarctic Ocean. It has been hypothesized that the population wintering off eastern South America migrates to feeding grounds near the Antarctic Peninsula (ca. 65 degrees S, 60 degrees W) and/or South Georgia (54 degrees 20'S, 36 degrees 40'W), but direct evidence to support this has never been presented. Between 19 and 28 October 2003, 11 humpback whales (7 females and 4 males) were instrumented with satellite transmitters off Brazil (ca. 18 degrees 30'S, 39 degrees 30'W) to investigate their movements and migratory destinations. Mean tracking time for the whales was 39.6 d (range = 5 to 205 d) and mean distance travelled was 1673 km per whale (range = 60 to 7258 km). Movements on the wintering ground showed marked individual variation. Departure dates from the Brazilian coast ranged from late October to late December. Whales migrated south through oceanic waters at an average heading of 170 and travelled a relatively direct, linear path from wintering to feeding grounds. Two whales were tracked to feeding grounds in offshore areas near South Georgia and in the South Sandwich Islands (58 degrees S, 26 degrees W) after a 40 to 60 d long migration. Historical catches and current sighting information support these migratory routes and destinations. This study is the first to describe the movements of humpback whales in the western South Atlantic Ocean.</t>
  </si>
  <si>
    <t>Univ Washington, Sch Aquat &amp; Fishery Sci, Washington Cooperat Fish &amp; Wildlife Res Unit, Seattle, WA 98195 USA; Univ Fed Juiz Fora, Inst Ciencias Biol, Dept Zool, BR-36015400 Juiz De Fora, MG, Brazil; Greenland Inst Nat Resources, Nuuk 3900, Greenland; Projeto Monitoramento Baleias Satalite, BR-22763010 Rio De Janeiro, Brazil; NOAA Fisheries, Alaska Fisheries Sci Ctr, Seattle, WA 98115 USA; Univ Fed Santa Catarina, LAMAQ ECZ, BR-88040970 Florianopolis, SC, Brazil</t>
  </si>
  <si>
    <t>University of Washington; University of Washington Seattle; Universidade Federal de Juiz de Fora; Greenland Institute of Natural Resources; National Oceanic Atmospheric Admin (NOAA) - USA; Universidade Federal de Santa Catarina (UFSC)</t>
  </si>
  <si>
    <t>Zerbini, AN (corresponding author), Univ Washington, Sch Aquat &amp; Fishery Sci, Washington Cooperat Fish &amp; Wildlife Res Unit, Box 355020, Seattle, WA 98195 USA.</t>
  </si>
  <si>
    <t>azerbini@u.washington.edu</t>
  </si>
  <si>
    <t>Zerbini, Alexandre/ABH-3916-2020; Simões-Lopes, P. C./I-9501-2012; Heide-Jørgensen, Mads Peter/F-6464-2011; Andriolo, Artur/K-5624-2013; Simões-Lopes, P. C./AAC-8562-2020; Zerbini, Alexandre/G-4138-2012</t>
  </si>
  <si>
    <t>Zerbini, Alexandre/0000-0002-9776-6605; Simões-Lopes, P. C./0000-0002-7338-3669; Moreira, Sergio Carvalho/0000-0002-3550-9515</t>
  </si>
  <si>
    <t>10.3354/meps313295</t>
  </si>
  <si>
    <t>060YE</t>
  </si>
  <si>
    <t>WOS:000238837300025</t>
  </si>
  <si>
    <t>Bargu, S; Lefebvre, K; Silver, MW</t>
  </si>
  <si>
    <t>Bargu, Sibel; Lefebvre, Kathi; Silver, Mary W.</t>
  </si>
  <si>
    <t>Effect of dissolved domoic acid on the grazing rate of krill Euphausia pacifica</t>
  </si>
  <si>
    <t>dissolved amino acid; domoic acid; glutamic acid; Pseudo-nitzschia; krill; Euphausia pacifica; feeding response</t>
  </si>
  <si>
    <t>DIATOM PSEUDONITZSCHIA-AUSTRALIS; PRINCE-EDWARD-ISLAND; PSEUDO-NITZSCHIA; ANTARCTIC KRILL; CENTRAL CALIFORNIA; FEEDING DETERRENT; MONTEREY BAY; AMINO-ACIDS; SEA LIONS; PHYTOPLANKTON</t>
  </si>
  <si>
    <t>Some amino acids released from phytoplankton into the water are known to be feeding stimulants to zooplankton. However, domoic acid (DA), a neuroexcitatory amino acid released by 14 some species of the diatom genus Pseudo-nitzschia, has the potential to be a feeding deterrent due to its neurotoxicity. Euphausiids (krill) are important members of the zooplankton grazer community and key prey items for many high level carnivores in the world's oceans. Although it is known that krill do consume toxic Pseudo-nitzschia spp. during blooms, there is currently no information concerning the effect of dissolved DA on the rate of feeding or the grazing behavior of krill. Therefore, we conducted experiments in which Euphausia pacifica were fed non-toxic P. pungens along with different added levels of either dissolved DA or glutamic acid (GA), an amino acid with a similar structure to DA. Krill grazing rates did not change significantly with added GA, but decreased significantly in the presence of DA. The rapid response of krill to dissolved DA suggests that either direct toxic action on the filtering apparatus or a chemoreceptor-like mechanism may suppress grazing in the krill. We suggest that these dissolved DA concentrations are relevant, given the DA concentrations found in Pseudo-nitzschia spp. populations in Monterey Bay and the feeding biology of krill. In either case, the suppression of feeding by dissolved DA suggests that high dissolved DA concentrations, should they occur in the field, may be a mechanism whereby blooms are perpetuated due to reduced losses to grazers such as krill.</t>
  </si>
  <si>
    <t>Univ Calif Santa Cruz, Dept Ocean Sci, Santa Cruz, CA 95064 USA; NOAA Fisheries, NWFSC, Seattle, WA 98112 USA</t>
  </si>
  <si>
    <t>University of California System; University of California Santa Cruz; National Oceanic Atmospheric Admin (NOAA) - USA</t>
  </si>
  <si>
    <t>Bargu, S (corresponding author), Univ Calif Santa Cruz, Dept Ocean Sci, 1156 High St, Santa Cruz, CA 95064 USA.</t>
  </si>
  <si>
    <t>sibelbargu@hotmail.com</t>
  </si>
  <si>
    <t>10.3354/meps312169</t>
  </si>
  <si>
    <t>047ZX</t>
  </si>
  <si>
    <t>WOS:000237918300014</t>
  </si>
  <si>
    <t>Soto, KH; Trites, AW; Arias-Schreiber, M</t>
  </si>
  <si>
    <t>Soto, Karim H.; Trites, Andrew W.; Arias-Schreiber, M.</t>
  </si>
  <si>
    <t>Changes in diet and maternal attendance of South American sea lions indicate changes in the marine environment and prey abundance</t>
  </si>
  <si>
    <t>South American sea lion; Otaria flavescens; environmental change; maternal attendance; diet; El Nino; La Nina; prey abundance</t>
  </si>
  <si>
    <t>ANTARCTIC FUR SEALS; OTARIA-FLAVESCENS; ARCTOCEPHALUS-GAZELLA; FORAGING BEHAVIOR; DIVING BEHAVIOR; VARIABILITY; PARTURITION; INVESTMENT; OCEAN; BIRTH</t>
  </si>
  <si>
    <t>Behavioural observations were made of South American sea lions Otaria flavescens in Peru to determine whether changes in their diet and maternal attendance patterns reflected physical changes in the marine environment and alterations in the abundance and distribution of prey. The study was conducted during the breeding season between 1998 and 2002, which was a period that encompassed a strong El Nino (1997 to 1998) and a moderate La Nina (1999 to 2001). Observations revealed strong linkages between maternal attendance patterns and the abundance of prey and oceanographic features close to the rookeries. Acute prey shortage during El Nino resulted in females increasing the length of their foraging trips and decreasing the time they spent onshore with their pups. In contrast, shorter times at sea and longer times onshore were observed during the favourable conditions of La Nina when preferred prey (anchovy and squat lobster) were more abundant near the rookeries. Pup mortalities increased when females spent more time at sea searching for prey and did not return frequently enough to nurse their pups. A larger diversity of prey species (particularly of demersal fishes) was consumed during El Nino when anchovy and lobster were less available. Females appeared to adjust their diets and maternal attendance patterns in response to annual changes in the abundance and distribution of prey. These observations suggested that diet and maternal responses reflect interannual fluctuations of the unpredictable Peruvian upwelling ecosystem, and implied that South American sea lions may be good indicators of relative changes in the distribution and abundance of marine resources.</t>
  </si>
  <si>
    <t>Univ British Columbia, Marine Mammal Res Unit, Vancouver, BC V6T 1Z4, Canada</t>
  </si>
  <si>
    <t>University of British Columbia</t>
  </si>
  <si>
    <t>Soto, KH (corresponding author), Univ British Columbia, Marine Mammal Res Unit, Room 247,AERI,2202 Main Mall, Vancouver, BC V6T 1Z4, Canada.</t>
  </si>
  <si>
    <t>soto@zoology.ubc.ca</t>
  </si>
  <si>
    <t>Schreiber, Milena Arias/AAK-4524-2021; Trites, Andrew/K-5648-2012</t>
  </si>
  <si>
    <t>Trites, Andrew/0000-0003-0342-5322</t>
  </si>
  <si>
    <t>10.3354/meps312277</t>
  </si>
  <si>
    <t>WOS:000237918300024</t>
  </si>
  <si>
    <t>Bearhop, S; Phillips, RA; McGill, R; Cherel, Y; Dawson, DA; Croxall, JP</t>
  </si>
  <si>
    <t>Bearhop, Stuart; Phillips, Richard A.; McGill, Rona; Cherel, Yves; Dawson, Deborah A.; Croxall, John P.</t>
  </si>
  <si>
    <t>Stable isotopes indicate sex-specific and long-term individual foraging specialisation in diving seabirds</t>
  </si>
  <si>
    <t>penguin; shag; trophic level; delta C-13; delta N-15</t>
  </si>
  <si>
    <t>SKUAS CATHARACTA-SKUA; BLUE-EYED SHAGS; SOUTH-GEORGIA; MACARONI PENGUINS; PHALACROCORAX-ATRICEPS; EUDYPTES-CHRYSOLOPHUS; TROPHIC RELATIONSHIPS; JAPANESE CORMORANTS; KING CORMORANTS; BIRD ISLAND</t>
  </si>
  <si>
    <t>An important aspect of foraging ecology is the extent to which different individuals or genders within a population exploit food resources in a different manner. For diving seabirds, much of this information relates either to short-term dietary data or indirect measures such as time budgets. Moreover, dietary specialisation can be difficult to detect due to biases associated with conventional sampling techniques. We used stable isotope ratios in blood and feathers to infer trophic and habitat specialisations among 4 diving seabird taxa - the gentoo penguin Pygoscelis papua, the macaroni penguin Eudyptes chrysolophus, the South Georgian shag Phalacrocorax (atriceps) georgianus and the Kerguelen shag P. (atriceps) verrucosus. This allowed us to investigate foraging specialisation and assess whether social dominance or differences in foraging preferences explained the observed patterns. In all taxa where sexes were known we found that males foraged at a higher trophic level (delta N-15 values) than females, although this was not significant in macaroni penguins. We believe that this is linked to a dual foraging strategy among female macaroni penguins. For South Georgian shags, we found that sex-related dietary differences persisted for long periods (inferred from stable isotope analyses of feathers and blood). We suggest that the trophic differences are driven by differences in physiological performance, with males tending to dive deeper than females because of their larger size, and hence able to access higher trophic level prey items. Moreover, male and female shags tend to forage at different times of day; therefore, social dominance by males is unlikely to be driving the observed differences. We also recorded highly significant relationships between stable isotope signatures in blood (representing the breeding season diet) and those in feathers (mostly representing the previous non-breeding season diet) in both the South Georgian and Kerguelen shags. This strongly suggests that these 2 taxa include individuals with distinct foraging specialisation (and most probably foraging locations) that are maintained over long periods.</t>
  </si>
  <si>
    <t>Queens Univ Belfast, Sch Biol &amp; Biochem, MBC, Belfast BT9 7BL, Antrim, North Ireland; British Antarctic Survey, NERC, Cambridge CB3 0ET, England; Scottish Univ Res &amp; Reactor Ctr, E Kilbride G75 0QF, Lanark, Scotland; CNRS, CEBC, F-79360 Villiers en Bois, France; Univ Sheffield, Dept Anim &amp; Plant Sci, Sheffield Mol Genet Facil, Sheffield S10 2TN, S Yorkshire, England</t>
  </si>
  <si>
    <t>Queens University Belfast; UK Research &amp; Innovation (UKRI); Natural Environment Research Council (NERC); NERC British Antarctic Survey; Scottish Universities Research &amp; Reactor Center; Centre National de la Recherche Scientifique (CNRS); University of Sheffield</t>
  </si>
  <si>
    <t>Bearhop, S (corresponding author), Queens Univ Belfast, Sch Biol &amp; Biochem, MBC, Lisburn Rd, Belfast BT9 7BL, Antrim, North Ireland.</t>
  </si>
  <si>
    <t>s.bearhop@qub.ac.uk</t>
  </si>
  <si>
    <t>McGill, Rona/F-1793-2010; McGill, Rona/JAC-6969-2023; Bearhop, Stuart/G-3105-2012</t>
  </si>
  <si>
    <t>McGill, Rona/0000-0003-0400-7288; Bearhop, Stuart/0000-0002-5864-0129</t>
  </si>
  <si>
    <t>10.3354/meps311157</t>
  </si>
  <si>
    <t>044FB</t>
  </si>
  <si>
    <t>WOS:000237656700014</t>
  </si>
  <si>
    <t>Waluda, CM; Rodhouse, PG</t>
  </si>
  <si>
    <t>Waluda, Claire M.; Rodhouse, Paul G.</t>
  </si>
  <si>
    <t>Remotely sensed mesoscale oceanography of the Central Eastern Pacific and recruitment variability in Dosidicus gigas</t>
  </si>
  <si>
    <t>Costa Rica Dome; Dosidicus gigas; El Nino Southern Oscillation; Eastern Pacific; fishery; flying squid; mesoscale oceanography; upwelling</t>
  </si>
  <si>
    <t>GULF-OF-CALIFORNIA; ILLEX-ARGENTINUS CEPHALOPODA; COSTA-RICA DOME; EL-NINO; FLYING SQUID; LA-NINA; SPERM-WHALES; OMMASTREPHIDAE; OCEAN; PERU</t>
  </si>
  <si>
    <t>The Jumbo flying squid Dosidicus gigas has a short life span and is subject to rapid changes in population size. This species inhabits the Eastern Pacific, one of the most variable oceanic environments in the world, subject to the El Nino Southern Oscillation (ENSO). This study examined the influence of environmental variability on squid abundance off Peru using mesoscale oceanographic indicators derived from remotely sensed satellite imagery. In the fishery area off Peru, squid abundance was positively associated with sea surface temperatures (SST) between 17 and 22 degrees C during July, corresponding to the peak of the fishery season. In the putative hatching area close to the Costa Rica Dome, squid abundance was positively associated with SST of between 24 and 28 degrees C during September, prior to the start of the fishery season. Squid abundance is apparently strongly influenced by mesoscale variability linked to ENSO, with low levels of upwelling during the very strong El Nino of 1997 to 1998 leading to very low catches of squid off Peru. Variability in upwelling off Peru and in the Costa Rica Dome region may drive primary and secondary production and transport processes affecting the planktonic early life stages and also the availability of food and suitable habitat for adult squid.</t>
  </si>
  <si>
    <t>Waluda, CM (corresponding author), British Antarctic Survey, NERC, High Cross,Madingley Rd, Cambridge CB3 0ET, England.</t>
  </si>
  <si>
    <t>clwa@bas.ac.uk</t>
  </si>
  <si>
    <t>Rodhouse, Paul/0000-0001-5399-967X</t>
  </si>
  <si>
    <t>10.3354/meps310025</t>
  </si>
  <si>
    <t>042VG</t>
  </si>
  <si>
    <t>WOS:000237558000003</t>
  </si>
  <si>
    <t>Kemp, KM; Jamieson, AJ; Bagley, PM; McGrath, H; Bailey, DM; Collins, MA; Priede, IG</t>
  </si>
  <si>
    <t>Kemp, Kirsty M.; Jamieson, Alan J.; Bagley, Philip M.; McGrath, Helen; Bailey, David M.; Collins, Martin A.; Priede, Imants G.</t>
  </si>
  <si>
    <t>Consumption of large bathyal food fall, a six month study in the NE Atlantic</t>
  </si>
  <si>
    <t>food fall; time-series; scavenger; deep-sea; Benthoctopus sp.; Coryphaenoides armatus; Munidopsis crassa; deep ocean benthic observatory</t>
  </si>
  <si>
    <t>SEA DEMERSAL FISHES; DEEP-SEA; SCAVENGER ASSEMBLAGES; ROCKALL TROUGH; LIVING FISHES; WHALE FALLS; IN-SITU; CARCASSES; CORYPHAENOIDES-(NEMATONURUS)-ARMATUS; REPRODUCTION</t>
  </si>
  <si>
    <t>We deployed 2 porpoise (Phocoena phocoena) carcasses at bathyal depth (2555 to 27 10 m) in the Porcupine Seabight, NE Atlantic for periods of 1 wk and 6 mo respectively. Consumption rates of 0.085 and 0.078 kg h(-1) were similar to those observed at abyssal depths in the Atlantic, and 1 order of magnitude slower than at bathyal depth in the Pacific. A distinct succession of scavenging species was observed at both carcasses: the abyssal grenadier Coryphaenoides armatus and the cusk eel Spectrunculus grandis numerically dominated the initial phase of carcass consumption and, once the bulk of the soft tissue had been removed (by Day 15), were succeeded by the squat lobster Munidopsis crassa. The blue hake Antimora rostrata and amphipod numbers were unexpectedly low, and consumption was attributed largely to direct feeding by C. armatus. The interaction of a crustacean prey species (M crassa) and cephalopod predator (Benthoctopus sp.) was observed for the first time, revealing that large food falls also attract secondary predators that do not utilise the food fall directly. The staying time of a single parasitised C, armatus (18 h) greatly exceeded previous estimates (&lt;= 8 h). This study describes the first large food fall to be monitored at high frequency over a 6 mo period, and the first observations of a large food fall at bathyal depth in the NE Atlantic. It enables direct comparison with similarly sized food falls at abyssal depth, much larger megacarrion falls, and similar studies differing in geographic location, in particular those carried out under Pacific whale migration corridors.</t>
  </si>
  <si>
    <t>Univ Aberdeen, Oceanlab, Ellon AB41 6AA, Aberdeen, Scotland; British Antarctic Survey, NERC, Cambridge CB3 0ET, England</t>
  </si>
  <si>
    <t>University of Aberdeen; UK Research &amp; Innovation (UKRI); Natural Environment Research Council (NERC); NERC British Antarctic Survey</t>
  </si>
  <si>
    <t>Kemp, KM (corresponding author), Univ Aberdeen, Oceanlab, Main St, Ellon AB41 6AA, Aberdeen, Scotland.</t>
  </si>
  <si>
    <t>k.kemp@abdn.ac.uk</t>
  </si>
  <si>
    <t>, Martin/ABE-6728-2020; Collins, Martin A/J-8560-2017; Bailey, David/A-6240-2008</t>
  </si>
  <si>
    <t>, Martin/0000-0001-7132-8650; Jamieson, Alan/0000-0001-9835-2909; Bailey, David/0000-0002-0824-8823; Priede, Imants/0000-0002-5064-9751</t>
  </si>
  <si>
    <t>10.3354/meps310065</t>
  </si>
  <si>
    <t>WOS:000237558000007</t>
  </si>
  <si>
    <t>Lea, MA; Guinet, C; Cherel, Y; Duhamel, G; Dubroca, L; Pruvost, P; Hindell, M</t>
  </si>
  <si>
    <t>Lea, Mary-Anne; Guinet, Christophe; Cherel, Yves; Duhamel, Guy; Dubroca, Laurent; Pruvost, Patrice; Hindell, Mark</t>
  </si>
  <si>
    <t>Impacts of climatic anomalies on provisioning strategies of a Southern Ocean predator</t>
  </si>
  <si>
    <t>antarctic fur seal; polar front; pinniped; ENSO; foraging; growth; diving; seabird; myctophid; maternal care</t>
  </si>
  <si>
    <t>ANTARCTIC FUR SEALS; SURFACE TEMPERATURE ANOMALIES; ARCTOCEPHALUS-GAZELLA PUPS; POLAR FRONTAL ZONE; INTERANNUAL VARIABILITY; KERGUELEN-ISLANDS; MATERNAL CHARACTERISTICS; FORAGING BEHAVIOR; SEX-DIFFERENCES; FISH PREY</t>
  </si>
  <si>
    <t>The large temporal and spatial variability in marine productivity encountered by marine predators may negatively influence breeding success. The Antarctic fur seal Arctocephalus gazella (AFS), a marine predator in the Southern Ocean (SO) ecosystem with a circumpolar distribution, exhibits a short, 4 mo lactation coinciding with increased summer marine productivity. The diet of AFS, and the distance to significant and productive oceanographic features, such as the Antarctic Polar Frontal Zone (PFZ), varies considerably between populations. We studied the foraging activity, foraging efficiency and the pup provisioning strategies of lactating AFS at a key breeding site in the southern Indian Ocean, the Kerguelen Archipelago. Foraging parameters were examined in relation to interannual variability in oceanographic conditions and prey availability in the PFZ over 3 consecutive breeding seasons (1998 to 2000). The location of foraging zones, diving activity, diet and foraging efficiency varied significantly between years, concurrently with annual changes in sea-surface temperature (SST) and prey availability. The strongest recorded El Nino Southern Oscillation event in 1997-1998 coincided with anomalously warm waters in the vicinity of the Archipelago. Deeper diving by females, reduced maternal and pup body condition, and minimal pup growth rates and low catch per unit effort of the primary prey species, lanternfishes (Myctophidae) were all recorded in this period. Maternal size was positively related to the growth performance of pups only in this period, indicating the importance of age/size and/or experience in mediating environmental fluctuations. Foraging efficiency over a foraging cycle and variability in mean provisioning rates (trip duration), were identified as proxies of prey availability within the foraging range of seals, emphasising the effectiveness of the use of AFS foraging behaviour as an indicator of both food and oceanographic variability and climatic anomalies. The increasing frequency of anomalously warm SST events in sectors of the SO, however, may elicit specific behavioural responses from 'central place foragers' (i.e. species that return to breeding sites to feed their young) to avoid sustained poor body condition of females and their weaned offspring.</t>
  </si>
  <si>
    <t>Univ Tasmania, Sch Zool, Antarct Wildlife Res Unit, Hobart, Tas 7001, Australia; Ctr Etud Biol Chize, UPR 1934, CNRS, F-79360 Villiers En Bois, France; Museum Natl Hist Nat, Dept Milieux &amp; Peuplements Aquat, USM 403, F-75005 Paris, France</t>
  </si>
  <si>
    <t>University of Tasmania; Centre National de la Recherche Scientifique (CNRS); Museum National d'Histoire Naturelle (MNHN)</t>
  </si>
  <si>
    <t>Lea, MA (corresponding author), Univ Tasmania, Sch Zool, Antarct Wildlife Res Unit, POB 252-05, Hobart, Tas 7001, Australia.</t>
  </si>
  <si>
    <t>ma_lea@utas.edu.au</t>
  </si>
  <si>
    <t>Hindell, Mark A/K-1131-2013; Guinet, Christophe/AAR-8457-2020; Dubroca, Laurent/AAS-5187-2021; Pruvost, Patrice/E-5690-2011; Lea, Mary-Anne/E-9054-2013</t>
  </si>
  <si>
    <t>Dubroca, Laurent/0000-0002-1861-0507; Hindell, Mark/0000-0002-7823-7185; Lea, Mary-Anne/0000-0001-8318-9299</t>
  </si>
  <si>
    <t>10.3354/meps310077</t>
  </si>
  <si>
    <t>WOS:000237558000008</t>
  </si>
  <si>
    <t>Clarke, J; Emmerson, LM; Otahal, P</t>
  </si>
  <si>
    <t>Clarke, Judy; Emmerson, Louise M.; Otahal, Petr</t>
  </si>
  <si>
    <t>Environmental conditions and life history constraints determine foraging range in breeding Adelie penguins</t>
  </si>
  <si>
    <t>satellite tracking; Pygoscelis adeliae; foraging range; chick provisioning; body condition; kernel analysis; polynya</t>
  </si>
  <si>
    <t>KRILL EUPHAUSIA-SUPERBA; EAST ANTARCTICA 80-150-DEGREES-E; BECHERVAISE-ISLAND; POPULATION-STRUCTURE; REARING CHICKS; AUSTRAL SUMMER; ICE CONDITIONS; TRIP DURATION; SEA-ICE; ABUNDANCE</t>
  </si>
  <si>
    <t>Foraging movements of Adelie penguins are constrained both by environmental conditions (e.g. sea ice cover) and life history factors (e.g. regular offspring provisioning), We describe within season changes in foraging range, trip duration and body condition of Adelie penguins nesting at Bechervaise Island, East Antarctica, in the context of these constraints. Penguins were satellite tracked over multiple seasons during the incubation, guard, creche and pre-moult phases of their annual cycle. They ranged farthest during incubation when sea ice was extensive and shortest during the guard stage when chicks were small and sea ice limited in extent. Prior to their annual moult the birds foraged hundreds of kilometres to the west and east of their breeding sites. A recurrent polynya facilitated access to the sea early in the season when ice cover was extensive. Kernel analyses showed that penguins foraged most intensively close to the colony, along submarine canyons and at the continental shelf break. Increases in foraging range, as the chick rearing period progressed, were consistent with changing energy requirements of adults and chicks and likely intraspecific competition. Whilst provisioning their offspring, penguins adopted a variable combination of time minimising and food maximising foraging behaviour in which choice of foraging rule was determined largely by adult body condition.</t>
  </si>
  <si>
    <t>Clarke, J (corresponding author), Australian Antarctic Div, Dept Environm &amp; Heritage, 203 Channel Hwy, Kingston, Tas 7050, Australia.</t>
  </si>
  <si>
    <t>judy.clarke@bigpond.com</t>
  </si>
  <si>
    <t>10.3354/meps310247</t>
  </si>
  <si>
    <t>WOS:000237558000022</t>
  </si>
  <si>
    <t>Crocker, DE; Costa, DP; Le Boeuf, BJ; Webb, PM; Houser, DS</t>
  </si>
  <si>
    <t>Impact of El Nino on the foraging behavior of female northern elephant seals</t>
  </si>
  <si>
    <t>El Nino; foraging; seals; water temperature; prey patches</t>
  </si>
  <si>
    <t>EASTERN TROPICAL PACIFIC; ANTARCTIC FUR SEALS; BERING SEA; SOUTHERN OSCILLATION; UNDERSEA TOPOGRAPHY; DIVING BEHAVIOR; CLIMATE; DISTRIBUTIONS; VARIABILITY; ECOSYSTEM</t>
  </si>
  <si>
    <t>Our aim was to examine the foraging behavior of northern elephant seals Mirounga angustirostris during the 1997-98 El Nino and compare it to foraging in others years. Given their deep diving and spatial distribution, their immediate response to a severe El Nino was expected to give insight into the timing, scale and magnitude of El Nino Southern Oscillation impacts on a large marine predator. Time-depth records and Argos-linked satellite tracks were obtained from adult females departing on post-breeding foraging migrations from 1990 to 1999, including females foraging during the 1998 El Nino. Rates of mass gain and trip duration were recorded for females from 1983 to 1999. Movement tracks of females in 1998 were similar to those observed in non-El Nino years. Rate of mass gain at sea was 0.29 +/- 0.36 kg d(-1) in 1998, the lowest measured since 1983. Marked declines in the mass gain rate of females were noted in severe El Nino years, but not in moderate El Nino years. Females increase spring foraging trip duration to compensate for decreases in foraging success. In 1998, the frequency distribution and temporal pattern of dive shapes suggested reduced residence time in prey patches and increased travel time between patches and these parameters showed a strong relationship with rates of mass gain. Our data confirm that the immediate ecological impact of the 1997-98 El Nino was not limited to the near-shore coastal margin, but extended far out into the North Pacific Ocean.</t>
  </si>
  <si>
    <t>Sonoma State Univ, Dept Biol, Rohnert Pk, CA 94928 USA; Univ Calif Santa Cruz, Dept Biol, Inst Marine Sci, Santa Cruz, CA 95064 USA; Roger Williams Univ, Dept Biol, Bristol, RI 02809 USA</t>
  </si>
  <si>
    <t>California State University System; Sonoma State University; University of California System; University of California Santa Cruz</t>
  </si>
  <si>
    <t>Sonoma State Univ, Dept Biol, 1801 E Colati Rd, Rohnert Pk, CA 94928 USA.</t>
  </si>
  <si>
    <t>crocker@sonoma.edu</t>
  </si>
  <si>
    <t>Carlos, Universidade Federal de São/W-8832-2019; Houser, Dorian/AAG-6359-2020; Costa, Daniel Paul/E-2616-2013</t>
  </si>
  <si>
    <t>Carlos, Universidade Federal de São/0000-0002-0334-3899; Costa, Daniel Paul/0000-0002-0233-5782; Houser, Dorian/0000-0002-0960-8528</t>
  </si>
  <si>
    <t>10.3354/meps309001</t>
  </si>
  <si>
    <t>035RU</t>
  </si>
  <si>
    <t>WOS:000237020200001</t>
  </si>
  <si>
    <t>Ward, P; Shreeve, R; Atkinson, A; Korb, B; Whitehouse, M; Thorpe, S; Pond, D; Cunningham, N</t>
  </si>
  <si>
    <t>Plankton community structure and variability in the Scotia Sea: austral summer 2003</t>
  </si>
  <si>
    <t>southern ocean; phytoplankton; zooplankton; community structure; production; sea ice</t>
  </si>
  <si>
    <t>KRILL EUPHAUSIA-SUPERBA; ANTARCTIC CIRCUMPOLAR CURRENT; SOUTH GEORGIA; WEDDELL SEA; ICE-EDGE; OCEANOGRAPHIC STRUCTURE; ZOOPLANKTON COMMUNITY; CALANOIDES-ACUTUS; COPEPOD COMMUNITY; BRANSFIELD STRAIT</t>
  </si>
  <si>
    <t>Plankton community structure in the Scotia Sea was investigated during January/early February 2003 based on phytoplankton cell counts from 20 m depth and mesozooplankton counts from 0 to 400 m net hauls. Cluster analysis and multi-dimensional scaling revealed 4 major groups of stations within each ordination that broadly corresponded geographically. A grouping of stations to the east of the Antarctic Peninsula was characterised by low phytoplankton cell counts. The corresponding grouping of stations in the mesozooplankton data were characterised by low abundance, overwintered state of many species, low egg production rates, and low carbon mass of copepod instars. In contrast, groupings of stations in the northern part of the Scotia Sea were characterised as chlorophyll and mesozooplankton rich, and the summer generation was well advanced. Latitude was most strongly correlated with mesozooplankton community pattern (rank correlation p = 0.608), whereas surface chlorophyll a was a weaker correlate (p = 0.344) but along with measures of size-fractioned chlorophyll contributed towards explaining variation in species stages carbon mass and egg production rates. Additional hauls to 1000 m with an LHPR indicated copepod populations were broadly in an overwintered state in the south of the region, whereas to the north of South Georgia recruitment had been completed and some species were undergoing a seasonal descent. A comparison with January/February 2000 revealed higher abundances of krill larvae throughout the Scotia Sea in 2000 as well as a more advanced generation of the copepod Calanoides acutus. Ice cover during the 2 years differed considerably; in 2000 the position of the summer ice edge broadly accorded with the 25 yr average, whereas in 2003 the ice edge lay much further north than usual. We suggest that the timing of ice retreat influenced the timing of reproduction with the late retreat in 2003 causing delayed reproduction and reduced population sizes.</t>
  </si>
  <si>
    <t>British Antarctic Survey, NERC, High Cross,Madingley Rd, Cambridge CB3 0ET, England.</t>
  </si>
  <si>
    <t>pwar@nerc-bas.ac.uk</t>
  </si>
  <si>
    <t>Atkinson, Angus/HOH-3417-2023; Cunningham, Nathan J/B-9591-2008</t>
  </si>
  <si>
    <t>Cunningham, Nathan/0000-0003-4941-504X; Thorpe, Sally/0000-0002-5193-6955</t>
  </si>
  <si>
    <t>10.3354/meps309075</t>
  </si>
  <si>
    <t>WOS:000237020200007</t>
  </si>
  <si>
    <t>Watanabe, Y; Bornemann, H; Liebsch, N; Plötz, J; Sato, K; Naito, Y; Miyazaki, N</t>
  </si>
  <si>
    <t>Seal-mounted cameras detect invertebrate fauna on the underside of an Antarctic ice shelf</t>
  </si>
  <si>
    <t>ice shelf; fauna; Antarctica; camera; diving; Weddell seal; Leptonychotes weddellii</t>
  </si>
  <si>
    <t>WEDDELL SEALS; FORAGING BEHAVIOR; MARINE PREDATORS; ABUNDANCE; DIVES</t>
  </si>
  <si>
    <t>While modern sampling techniques, such as autonomous underwater vehicles, are increasing our knowledge of the fauna beneath Antarctic sea ice of only a few meters in depth, greater sampling difficulties mean that little is known about the marine life underneath Antarctic ice shelves over 100 in thick. In this study, we present underwater images showing the underside of an Antarctic ice shelf covered by aggregated invertebrate communities, most likely crudarians and isopods. These images, taken at an average depth of 145 m, were obtained with a digital still camera system attached to Weddell seals Leptonychotes weddellii foraging just beneath the ice shelf. Our observations indicate that, similar to the sea floor, ice shelves serve as an important habitat for a remarkable amount of marine invertebrate fauna in Antarctica.</t>
  </si>
  <si>
    <t>Univ Tokyo, Ocean Res Inst, Nakano Ku, Tokyo 1648639, Japan; Alfred Wegener Inst Polar &amp; Marine Res, D-27515 Bremerhaven, Germany; IFM, GEOMAR, D-24105 Kiel, Germany; Natl Inst Polar Res, Itabashi Ku, Tokyo 1738515, Japan</t>
  </si>
  <si>
    <t>University of Tokyo; Helmholtz Association; Alfred Wegener Institute, Helmholtz Centre for Polar &amp; Marine Research; Helmholtz Association; GEOMAR Helmholtz Center for Ocean Research Kiel; Research Organization of Information &amp; Systems (ROIS); National Institute of Polar Research (NIPR) - Japan</t>
  </si>
  <si>
    <t>Univ Tokyo, Ocean Res Inst, Nakano Ku, 1-15-1 Minamidai, Tokyo 1648639, Japan.</t>
  </si>
  <si>
    <t>yuuki@ori.u-tokyo.ac.jp</t>
  </si>
  <si>
    <t>Watanabe, Yuuki/D-5079-2012</t>
  </si>
  <si>
    <t>Miyazaki, Nobuyuki/0000-0001-8094-683X; Watanabe, Yuuki/0000-0001-9731-1769</t>
  </si>
  <si>
    <t>10.3354/meps309297</t>
  </si>
  <si>
    <t>WOS:000237020200024</t>
  </si>
  <si>
    <t>Philipp, E; Brey, T; Heilmayer, O; Abele, D; Pörtner, HO</t>
  </si>
  <si>
    <t>Physiological ageing in a temperate and a polar swimming scallop</t>
  </si>
  <si>
    <t>ageing; scallops; reactive oxygen species; ROS; mitochondria</t>
  </si>
  <si>
    <t>CYTOCHROME-C-OXIDASE; HYDROGEN-PEROXIDE PRODUCTION; RESPIRATORY-CHAIN FUNCTION; ADAMUSSIUM-COLBECKI; ANTARCTIC SCALLOP; POPULATION-DYNAMICS; OXIDATIVE STRESS; SKELETAL-MUSCLE; REDOX STATUS; FRESH-WATER</t>
  </si>
  <si>
    <t>We compared physiological ageing parameters in 2 scallops, the temperate Aequipecten opercularis and the Antarctic Adamussium colbecki. These 2 species are phylogenetically closely related and display a similar lifestyle but have distinctly different maximum lifespans (MLSP). A. opercularis does not live longer than 8 to 10 yr, whereas A. colbecki lives over 18 yr. The development of several physiological ageing parameters over time, chosen according to the 'free radical theory of ageing', was compared in the 2 species to identify differences in the ageing process. In the shorter-lived A. opercularis, activities of the mitochondrial enzymes citrate synthase and cytochrome c oxidase and of the antioxidant enzyme catalase showed a more pronounced decrease with increasing age than in the longer-lived A. colbecki. In line with this finding, lipofuscin accumulation increased more distinctly in A. opercularis than in A. colbecki, while tissue protein content decreased in A. opercularis but increased in A. colbecki. Its better preservation of mitochondrial and antioxidant enzyme activities and the avoidance of waste accumulation may enable A. colbecki to live longer than A. opercularis. Mitochondrial function investigated in A. opercularis showed only minor changes with age, and mitochondrial H2O2 generation rates were low at all ages. We relate our findings to the 'free radical-rate of living' theory, to the 'uncoupling to survive' hypothesis, and to the particular lifestyle of these scallops.</t>
  </si>
  <si>
    <t>Alfred Wegener Inst Polar &amp; Marine Res, D-27568 Bremerhaven, Germany; Florida Atlantic Univ, Dept Biol Sci, Boca Raton, FL 33431 USA</t>
  </si>
  <si>
    <t>Helmholtz Association; Alfred Wegener Institute, Helmholtz Centre for Polar &amp; Marine Research; State University System of Florida; Florida Atlantic University</t>
  </si>
  <si>
    <t>Alfred Wegener Inst Polar &amp; Marine Res, D-27568 Bremerhaven, Germany.</t>
  </si>
  <si>
    <t>dabele@awi-bremerhaven.de</t>
  </si>
  <si>
    <t>Pörtner, Hans-O./0000-0001-6535-6575; Brey, Thomas/0000-0002-6345-2851; Abele, Doris/0000-0002-5766-5017; Heilmayer, Olaf/0000-0003-1849-1381</t>
  </si>
  <si>
    <t>10.3354/meps307187</t>
  </si>
  <si>
    <t>018OW</t>
  </si>
  <si>
    <t>WOS:000235775700015</t>
  </si>
  <si>
    <t>Pears, RJ; Choat, JH; Mapstone, BD; Begg, GA</t>
  </si>
  <si>
    <t>Demography of a large grouper, Epinephelus fuscoguttatus, from Australia's Great Barrier Reef:: implications for fishery management</t>
  </si>
  <si>
    <t>age; maturity; Great Barrier Reef; reef fisheries management; legal size limits; epinepheline serranid; longevity; protogynous hermaphroditism</t>
  </si>
  <si>
    <t>AGE VALIDATION; CORAL TROUT; PLECTROPOMUS-LEOPARDUS; REPRODUCTIVE-BIOLOGY; EASTERN GULF; SEX-CHANGE; GROWTH; SERRANIDAE; SIZE; COMMUNITIES</t>
  </si>
  <si>
    <t>Epinephelus fuscoguttatus is widespread throughout the Indo-Pacific and features strongly in regional fisheries, including the live reef fish trade. We investigated age-specific demographic and reproductive characteristics of E. fuscoguttatus from the Great Barrier Reef, Australia, and examined implications for resource management. Age, growth, longevity, and the relationships between size or age and female sexual maturity and the recruitment of males into the study population were examined. Age validation using both oxytetracycline marking and edge-type analysis demonstrated that a single annulus formed each year. This grouper is long-lived (&gt; 40 yr) and relatively slow-growing. The size and age distributions of the sexes strongly suggested protogynous hermaphroditism. Histological data suggested infrequent spawning in small mature females. Females contribute very little to reproductive output until about 566 mm fork length and 9 yr of age. Larger females make important reproductive contributions during their 30+ yr reproductive lifespan. Their relatively long lifespan, restriction of males to large size groups, and the disproportionate contribution of large females to reproduction have important implications for the harvest of E. fuscoguttatus. For example, current Queensland size regulations are poorly matched to the species' biology because they do not protect the reproductive elements of populations.</t>
  </si>
  <si>
    <t>James Cook Univ N Queensland, Sch Marine Biol, Townsville, Qld 4811, Australia; James Cook Univ N Queensland, CRC Reef Res Ctr, Townsville, Qld 4811, Australia; Univ Tasmania, Antarctic Climate &amp; Ecosyst CRC, Hobart, Tas 7001, Australia</t>
  </si>
  <si>
    <t>James Cook University; James Cook University; University of Tasmania</t>
  </si>
  <si>
    <t>Pears, RJ (corresponding author), James Cook Univ N Queensland, Sch Marine Biol, Townsville, Qld 4811, Australia.</t>
  </si>
  <si>
    <t>rachel.pears@jcu.edu.au</t>
  </si>
  <si>
    <t>Pears, Rachel/0000-0001-8092-0365</t>
  </si>
  <si>
    <t>10.3354/meps307259</t>
  </si>
  <si>
    <t>WOS:000235775700021</t>
  </si>
  <si>
    <t>Lee, RF; Hagen, W; Kattner, G</t>
  </si>
  <si>
    <t>Lipid storage in marine zooplankton</t>
  </si>
  <si>
    <t>zooplankton; lipids; wax esters; triacylglycerots; diapause; reproduction; ontogeny; biomes</t>
  </si>
  <si>
    <t>KRILL EUPHAUSIA-SUPERBA; THIN-LAYER-CHROMATOGRAPHY; CALANUS-FINMARCHICUS GUNNERUS; SUB-ANTARCTIC COPEPOD; FATTY-ACID-COMPOSITION; MARGINAL ICE-ZONE; PENAEUS-SEMISULCATUS CRUSTACEA; LABIDOCERA-AESTIVA COPEPODA; COMPARATIVE LIFE-HISTORIES; PTEROPOD CLIONE-LIMACINA</t>
  </si>
  <si>
    <t>Zooplankton storage lipids play an important role during reproduction, food scarcity, ontogeny and diapause, as shown by studies in various oceanic regions. While triacylglycerols, the primary storage lipid of terrestrial animals, are found in almost all zooplankton species, wax esters are the dominant storage lipid in many deep-living and polar zooplankton taxa. Phospholipids and diacylglycerol ethers are the unique storage lipids used by polar euphausiids and pteropods, respectively. In zooplankton with large stores of wax esters, triacylglycerols are more rapidly turned over and used for short-term energy needs, while wax esters serve as long-term energy deposits. Zooplankton groups found in polar, westerlies, upwelling and coastal biomes are characterized by accumulation of large lipid stores. In contrast, zooplankton from the trades/tropical biomes is mainly composed of omnivorous species with only small lipid reserves. Diapausing copepods, which enter deep water after feeding on phytoplankton during spring/summer blooms or at the end of upwelling periods, are characterized by large oil sacs filled with wax esters. The thermal expansion and compressibility of wax esters may allow diapausing copepods and other deep-water zooplankton to be neutrally buoyant in cold deep waters, and they can thus avoid spending energy to remain at these depths. Lipid droplets are often noted in zooplankton ovaries, and a portion of these droplets can be transferred to developing oocytes. In addition to lipid droplets, zooplankton eggs have yolks with lipovitellin, a lipoprotein with approximately equal amounts of protein and lipid. The lipovitellin lipid is predominantly phosphatidylcholine, so during reproduction females must convert a portion of their storage lipid into this phospholipid. Developing embryos use their lipovitellin and lipid droplets for energy and materials until feeding begins. The various functions storage lipids serve during the different life history stages of zooplankton are very complex and still not fully understood and hence offer a multitude of fascinating research perspectives.</t>
  </si>
  <si>
    <t>Skidaway Inst Oceanog, Savannah, GA 31406 USA; Univ Bremen, D-28334 Bremen, Germany; Alfred Wegener Inst Polar &amp; Marine Res, D-27515 Bremerhaven, Germany</t>
  </si>
  <si>
    <t>University System of Georgia; University of Georgia; Skidaway Institute of Oceanography; University of Bremen; Helmholtz Association; Alfred Wegener Institute, Helmholtz Centre for Polar &amp; Marine Research</t>
  </si>
  <si>
    <t>Skidaway Inst Oceanog, 10 Ocean Sci Circle, Savannah, GA 31406 USA.</t>
  </si>
  <si>
    <t>dick@skio.peachnet.edu</t>
  </si>
  <si>
    <t>Hagen, Wilhelm/0000-0002-7462-9931</t>
  </si>
  <si>
    <t>10.3354/meps307273</t>
  </si>
  <si>
    <t>WOS:000235775700022</t>
  </si>
  <si>
    <t>Kawaguchi, S; Candy, SG; King, R; Naganobu, M; Nicol, S</t>
  </si>
  <si>
    <t>Modelling growth of Antarctic krill. I. Growth trends with sex, length, season, and region</t>
  </si>
  <si>
    <t>Antarctic krill; growth; instantaneous growth rate; IGR</t>
  </si>
  <si>
    <t>EUPHAUSIA-SUPERBA DANA; SOUTH GEORGIA; MOLT CYCLE; MATURATION; SHRINKAGE; TEMPERATURE; CRUSTACEA; SECTOR; BAY</t>
  </si>
  <si>
    <t>Growth trends of Antarctic krill with sex, length, season, and region as independent variables were modelled with a linear mixed model (LMM) using 10 yr of accumulated instantaneous growth rate (IGR) measurements. A model of inter-moult period (IMP) as a function of temperature, required to convert IGR to daily growth rate, was fitted to data from published constant-tempera lure rearing studies; this model was used to predict seasonal IMP using a model of the average sea surface temperature seasonal trend for each region. Smaller krill exhibited higher growth rates and, in general, we observed a progressive decrease in IGR and daily growth with increasing size (from over 0.2 mm d(-1) down to 0.05 mm d(-1) for 20 and 50 rum krill, respectively, in December in the Indian Ocean sector of the Southern Ocean). IGR decreased from summer to autumn, with small to negative values predominating across all length classes by autumn. December was a period of rapid growth in the Indian Ocean sector of the Southern Ocean, whereas a similar peak in growth rates appeared to occur a few months earlier in the southwest Atlantic sector. Significantly lower growth rates were exhibited by females in January and February (e.g. 0.063 and 0.050 mm d(-1) for 40 mm females) compared to males (0.119 and 0.090 mm d(-1) for 40 mm males) in the Indian Ocean sector. Since these estimates were based on growth measurements of individual animals, they may reflect the occurrence of sex-differentiated growth patterns in the natural environment. Growth rate differences between sexes Suggested that growth rate estimates based on composite length frequency distributions without sex differentiation may be problematic.</t>
  </si>
  <si>
    <t>Australian Antarctic Div, Dept Environm &amp; Heritage, Kingston, Tas 7050, Australia; Natl Res Inst Far Seas Fisheries, Shimizu Ku, Shizuoka 4248633, Japan</t>
  </si>
  <si>
    <t>Australian Antarctic Div, Dept Environm &amp; Heritage, 203 Channel Highway, Kingston, Tas 7050, Australia.</t>
  </si>
  <si>
    <t>Kawaguchi, So/0000-0002-2042-5095; King, Robert/0000-0002-4650-2335</t>
  </si>
  <si>
    <t>10.3354/meps306001</t>
  </si>
  <si>
    <t>014YQ</t>
  </si>
  <si>
    <t>WOS:000235518100001</t>
  </si>
  <si>
    <t>Candy, SG; Kawaguchi, S</t>
  </si>
  <si>
    <t>Modelling growth of Antarctic krill. II. Novel approach to describing the growth trajectory</t>
  </si>
  <si>
    <t>Antarctic krill; growth; instantaneous growth rate; IGR; CCAMLR</t>
  </si>
  <si>
    <t>EUPHAUSIA-SUPERBA; SHRINKAGE; CRUSTACEA; SECTOR</t>
  </si>
  <si>
    <t>Von Bertalanffy (VB) growth models for Antarctic krill have been calibrated from population-level data consisting of modal lengths obtained from a time sequence of length frequency samples. We developed an alternative approach to predicting the trajectory of length over time, using a step-growth function that combines models of instantaneous growth rate (IGR) at moult calibrated from direct measurements of individual pre- and post-moult krill sampled from the wild with a model of temperature-dependent inter-moult period (IMP), Using summer and early autumn data for juveniles and males sampled from the Indian Ocean sector of the Southern Ocean, we modelled IGR as a function of pre-moult length and season using linear mixed models (LMM) incorporating cubic smoothing splines. We generated a number of growth trajectories starting from an Age 1+ yr mean length, for different scenarios of winter and spring growth. We then provided convenient parametric approximations to these step trajectories for use in population dynamic modelling systems using either a punctuated-growth model based on an F-distribution or a seasonal-growth VB model. Alternatively, step-trajectories could be used directly. Our models indicated that, when allowing for shrinkage, at the start of the sixth winter after hatch (Age 5+ yr) the mean length of krill for the Indian Ocean sector was close to 53 mm, compared to 56 mm obtained from studies for the southwest Atlantic Ocean sector. In contrast, when shrinkage was not allowed for, a slightly higher mean length was obtained for krill from the Indian Ocean sector (57.5 mm) compared to krill from the southwest Atlantic Ocean sector.</t>
  </si>
  <si>
    <t>steve.candy@aad.gov.au</t>
  </si>
  <si>
    <t>10.3354/meps306017</t>
  </si>
  <si>
    <t>WOS:000235518100002</t>
  </si>
  <si>
    <t>Ainley, DG; Hobson, KA; Crosta, X; Rau, GH; Wassenaar, LI; Augustinus, PC</t>
  </si>
  <si>
    <t>Holocene variation in the Antarctic coastal food web:: linking δD and δ13C in snow petrel diet and marine sediments</t>
  </si>
  <si>
    <t>Antarctica; Holocene climate change; food webs; isotopic analysis; mumiyo; Pagodroma nivea; sediment cores; snow petrel</t>
  </si>
  <si>
    <t>STOMACH OIL DEPOSITS; SOUTHERN-OCEAN; ORGANIC-MATTER; BUNGER HILLS; ROSS SEA; CARBON; PHYTOPLANKTON; RECORD; C-14; INSIGHTS</t>
  </si>
  <si>
    <t>Here we present first time evidence for concordant variation in the isotopic signature at both the base and the upper levels of the Antarctic coastal food web during the Holocene. Laminae in sub-fossil deposits of snow petrel Pagodroina nivea stomach oil, known as mumiyo, were collected from nest-sites in the Bunger Hills, East Antarctica. Mumiyo layers were sub-sampled, radiocarbondated, and analyzed for delta C-13 and delta D. The obtained values were compared to isotopic variability among layers of an ocean sediment core collected, and similarly dated, in nearby Dumont D'Urville Trough. Overlapping records extended from about 10 160 to 526 calendar years before present (cal yr BP). Mumiyo delta D values remained relatively constant throughout the sampled period, in accordance with data from nearby ice cores. For C-13, both mumiyo and sediment were enriched during the warmer midHolocene (ca. 7500 to 5500 cal yr BP). Isotopic concordance between the core and the mumiyo, and a significant correlation between mumiyo delta D and delta C-13, suggest that past delta C-13 variation in plankton was transferred through diet to higher trophic levels and ultimately recorded in stomach oil of snow petrels. Divergence in signals during cold periods may indicate a shift in foraging by the petrels from C-13-enriched neritic prey to normally C-13-depleted pelagic prey, except for those pelagic prey encountered at the productive pack-ice edge during cooler periods, a shift forced by presumed greater sea-ice concentration during those times. Other air-breathing predators would likely respond in the same way.</t>
  </si>
  <si>
    <t>HT Harvey &amp; Associates, San Jose, CA 95118 USA; Environm Canada, Canadian Wildlife Serv, Saskatoon, SK S7N 0X4, Canada; Univ Bordeaux 1, UMR CNRS 5808, EPOC, F-33405 Talence, France; Univ Calif Santa Cruz, Inst Marine Sci, Santa Cruz, CA 95064 USA; Environm Canada, Natl Water Res Inst, Saskatoon, SK S7N 3H5, Canada; Univ Auckland, Dept Geog, Auckland 1030, New Zealand; Univ Auckland, Dept Geol, Auckland 1030, New Zealand</t>
  </si>
  <si>
    <t>Environment &amp; Climate Change Canada; Canadian Wildlife Service; Centre National de la Recherche Scientifique (CNRS); Universite de Bordeaux; University of California System; University of California Santa Cruz; Environment &amp; Climate Change Canada; National Water Research Institute; University of Auckland; University of Auckland</t>
  </si>
  <si>
    <t>HT Harvey &amp; Associates, 3150 Almaden Expressway,Suite 145, San Jose, CA 95118 USA.</t>
  </si>
  <si>
    <t>dainley@penguinscience.com</t>
  </si>
  <si>
    <t>Hobson, Keith/Q-9306-2019; Wassenaar, Leonard I/B-7508-2009; Augustinus, Paul/B-5125-2011; Wassenaar, Leonard Irwin/B-5996-2013</t>
  </si>
  <si>
    <t>Wassenaar, Leonard Irwin/0000-0001-5532-0771; Augustinus, Paul/0000-0002-1391-2151</t>
  </si>
  <si>
    <t>10.3354/meps306031</t>
  </si>
  <si>
    <t>WOS:000235518100003</t>
  </si>
  <si>
    <t>Benedetti, M; Fattorini, D; Gorbi, S; Notti, A; Nigro, M; Regoli, F</t>
  </si>
  <si>
    <t>Benedetti, Maura; Fattorini, Daniele; Gorbi, Stefania; Notti, Alessandra; Nigro, Marco; Regoli, Francesco</t>
  </si>
  <si>
    <t>Natural environmental prooxidant conditions modulate antioxidant efficiency and oxidative responsiveness to chemicals in two Antarctic notothenoid species, Treamatomus bernacchii and Pleuragramma antarcticus</t>
  </si>
  <si>
    <t>MARINE ENVIRONMENTAL RESEARCH</t>
  </si>
  <si>
    <t>Univ Politecn Marche, Ist Biol &amp; Genet, Ancona, Italy; Univ Pisa, Dipartimento Morfol Umana &amp; Biol Applicata, Pisa, Italy</t>
  </si>
  <si>
    <t>Marche Polytechnic University; University of Pisa</t>
  </si>
  <si>
    <t>Regoli, Francesco/K-2719-2018; Gorbi, Stefania/K-5662-2016; Fattorini, Daniele/A-2969-2010</t>
  </si>
  <si>
    <t>Fattorini, Daniele/0000-0002-5847-4722</t>
  </si>
  <si>
    <t>0141-1136</t>
  </si>
  <si>
    <t>MAR ENVIRON RES</t>
  </si>
  <si>
    <t>Mar. Environ. Res.</t>
  </si>
  <si>
    <t>S449</t>
  </si>
  <si>
    <t>S450</t>
  </si>
  <si>
    <t>Environmental Sciences; Marine &amp; Freshwater Biology; Toxicology</t>
  </si>
  <si>
    <t>Environmental Sciences &amp; Ecology; Marine &amp; Freshwater Biology; Toxicology</t>
  </si>
  <si>
    <t>062PU</t>
  </si>
  <si>
    <t>WOS:000238957800303</t>
  </si>
  <si>
    <t>Benedetti, M; Bocchetti, R; Fattorini, D; Gorbi, S; Machella, N; Notti, A; Nigro, M; Regoli, F</t>
  </si>
  <si>
    <t>Benedetti, Maura; Bocchetti, Raffaella; Fattorini, Daniele; Gorbi, Stefania; Machella, Nicola; Notti, Alessandra; Nigro, Marco; Regoli, Francesco</t>
  </si>
  <si>
    <t>Oxyradical metabolism and oxidative responses to chemical mixtures in the Antarctic fish Trematomus bernacchii</t>
  </si>
  <si>
    <t>Gorbi, Stefania/K-5662-2016; Fattorini, Daniele/A-2969-2010; Regoli, Francesco/K-2719-2018</t>
  </si>
  <si>
    <t>Fattorini, Daniele/0000-0002-5847-4722;</t>
  </si>
  <si>
    <t>S445</t>
  </si>
  <si>
    <t>S446</t>
  </si>
  <si>
    <t>WOS:000238957800298</t>
  </si>
  <si>
    <t>Laluraj, CM; Balachandran, KK; Sabu, P; Panampunnayil, SU</t>
  </si>
  <si>
    <t>Laluraj, C. M.; Balachandran, K. K.; Sabu, P.; Panampunnayil, S. U.</t>
  </si>
  <si>
    <t>Persistent volcanic signature observed around Barren Island, Andaman Sea, India</t>
  </si>
  <si>
    <t>MARINE GEOPHYSICAL RESEARCH</t>
  </si>
  <si>
    <t>Andaman Sea; Barren Island; volcano; warm air pool; global warming</t>
  </si>
  <si>
    <t>SURFACE TEMPERATURES; TROPICAL CYCLONES; ERUPTION; CLIMATE; INTENSITY; SOLAR</t>
  </si>
  <si>
    <t>This study delineates the formation of a warm pool (&gt;34 degrees C) of air to the west (downwind) of the active volcano of the Barren Island during October-November 2005. Barren Island is located in the Sumatra-Andaman region, about 135 km east of Port Blair, and lies within the Burma microplate, the southern tip of which experienced a submarine earthquake (M-w 9.3) causing a tsunami in December 2004. Barren Island is the only volcano, which has shown sustained eruptive activity since shortly after the Great Sumatran Earthquake of December 2004. Our observations require further corroboration to relate how submarine earthquakes activate volcanoes and how far these thermal emissions influence climate changes. Because it links global warming and climate changes to the frequent emissions from a volcano activated by submarine earthquakes, this case study is of special interest to the earth-ocean-atmosphere sciences community.</t>
  </si>
  <si>
    <t>Natl Inst Oceanog, Reg Ctr, Kochi 682018, India</t>
  </si>
  <si>
    <t>Council of Scientific &amp; Industrial Research (CSIR) - India; CSIR - National Institute of Oceanography (NIO)</t>
  </si>
  <si>
    <t>Laluraj, CM (corresponding author), Natl Ctr Antarctic &amp; Ocean Res, Headland Sada, Goa, India.</t>
  </si>
  <si>
    <t>lalucm@ncaor.org</t>
  </si>
  <si>
    <t>0025-3235</t>
  </si>
  <si>
    <t>1573-0581</t>
  </si>
  <si>
    <t>MAR GEOPHYS RES</t>
  </si>
  <si>
    <t>Mar. Geophys. Res.</t>
  </si>
  <si>
    <t>10.1007/s11001-006-9008-z</t>
  </si>
  <si>
    <t>Geochemistry &amp; Geophysics; Oceanography</t>
  </si>
  <si>
    <t>119FQ</t>
  </si>
  <si>
    <t>WOS:000242998600005</t>
  </si>
  <si>
    <t>Martin, AR; Da Silva, VMF; Rothery, PR</t>
  </si>
  <si>
    <t>Does radio tagging affect the survival or reproduction of small cetaceans? A test</t>
  </si>
  <si>
    <t>MARINE MAMMAL SCIENCE</t>
  </si>
  <si>
    <t>dolphin; boro; Inia geoffrensis; instrumentation; tagging effects; attachment; survival; reproduction</t>
  </si>
  <si>
    <t>BOTOS INIA-GEOFFRENSIS; RIVER DOLPHINS; FOREST</t>
  </si>
  <si>
    <t>A long-term Study of botos (inia geoffrensis) in the Brazilian Amazon permitted the comparison of survival and reproduction between 5 1 adults fitted with radio transmitters and all equal number that were captured and handled in the same way but released without a transmitter. For both sexes combined, 47 radio tagged botos (92.2%) survived at least three years after release compared with 42 (82.4%) without radios, equating to annual survival of 97.3% and 93.6% respectively. The difference was not statistically significant. Eight of 15 closely monitored radio tagged females were lactating at capture, and all their calves weaned successfully. Two that were pregnant at capture subsequently gave birth. The mean number of calves per year born to these 15 females after first release was 0. 172 (SD = 0. 107) and to 17 non-tagged was 0. 174 (SD = 0.095), again a non-significant difference. These results indicate that the anchoring of packages to the dorsal fin of dolphins can be accomplished with no measurable impact oil their subsequent survival or reproductive output. However, botos may be unusually robust to handling, and this study should not be used to justify using similar techniques on other species without customary caution, diligence, and expert guidance.</t>
  </si>
  <si>
    <t>Univ St Andrews, Gatty Marine Lab, NERC, Sea Mammal Res Unit, St Andrews KY16 8LB, Fife, Scotland; Inst Nacl de Pesquisas da Amazonia, Lab Mamiferos Aquat, BR-69011790 Manaus, Amazonas, Brazil; NERC, Ctr Ecol &amp; Hydrol, Huntingdon PE28 2LS, Cambs, England</t>
  </si>
  <si>
    <t>UK Research &amp; Innovation (UKRI); Natural Environment Research Council (NERC); University of St Andrews; Institute Nacional de Pesquisas da Amazonia; UK Centre for Ecology &amp; Hydrology (UKCEH); UK Research &amp; Innovation (UKRI); Natural Environment Research Council (NERC)</t>
  </si>
  <si>
    <t>Martin, AR (corresponding author), British Antarctic Survey, High Cross,Madingley Rd, Cambridge CB3 0ET, England.</t>
  </si>
  <si>
    <t>arm@bas.ac.uk</t>
  </si>
  <si>
    <t>da Silva, Vera Maria Ferreira/AAE-8126-2021</t>
  </si>
  <si>
    <t>da Silva, Vera Maria Ferreira/0000-0002-1774-0393</t>
  </si>
  <si>
    <t>SOC MARINE MAMMALOGY</t>
  </si>
  <si>
    <t>1041 NEW HAMPSHIRE ST, LAWRENCE, KS 66044 USA</t>
  </si>
  <si>
    <t>0824-0469</t>
  </si>
  <si>
    <t>MAR MAMMAL SCI</t>
  </si>
  <si>
    <t>Mar. Mamm. Sci.</t>
  </si>
  <si>
    <t>10.1111/j.1748-7692.2006.00002.x</t>
  </si>
  <si>
    <t>Marine &amp; Freshwater Biology; Zoology</t>
  </si>
  <si>
    <t>007BL</t>
  </si>
  <si>
    <t>WOS:000234942300002</t>
  </si>
  <si>
    <t>Martin, AR; da Silva, VMF</t>
  </si>
  <si>
    <t>Sexual dimorphism and body scarring in the boto (Amazon River dolphin) Inia geoffrensis</t>
  </si>
  <si>
    <t>mammal; cetacean; odontocete; body color; boto; Inia geoffrensis</t>
  </si>
  <si>
    <t>Measurements and quantitative descriptions of a large sample of live adult botos (Inia geoffrensis) were obtained from the Mamiraua Reserve in the central Amazon. Males were on average 16% longer and weighed 55% more than females, demonstrating that this species is one of the most sexually dimorphic of all cetaceans for size. Males were also pinker than females, more heavily scarred by intraspecific tooth rakes, and had more life-threatening injuries. Some larger males had areas of modified skin that may simply be scar tissue, but may also be a heritable characteristic used as a shield or weapon. As in sperm whales, sexual size dimorphism and rnale-male aggression appear to be linked in botos, Suggesting fierce competition for a resource-probably mating opportunities. The boto is unique among river dolphins in that males are larger than females. This distinction implies long evolutionary separation and fundamental differences in social behavior.</t>
  </si>
  <si>
    <t>Univ St Andrews, Gatty Marine Lab, NERC, Sea Mammal Res Unit, St Andrews KY16 8LB, Fife, Scotland; Inst Nacl de Pesquisas da Amazonia, Lab Mamiferos Aquat, BR-69011790 Manaus, Amazonas, Brazil</t>
  </si>
  <si>
    <t>University of St Andrews; UK Research &amp; Innovation (UKRI); Natural Environment Research Council (NERC); Institute Nacional de Pesquisas da Amazonia</t>
  </si>
  <si>
    <t>10.1111/j.1748-7692.2006.00003.x</t>
  </si>
  <si>
    <t>WOS:000234942300003</t>
  </si>
  <si>
    <t>Jagoutz, E</t>
  </si>
  <si>
    <t>Grard, R; Masson, P; Khurana, K</t>
  </si>
  <si>
    <t>Jagoutz, Emil</t>
  </si>
  <si>
    <t>Salt-induced rock fragmentation on Mars: The role of salt in the weathering of Martian rocks</t>
  </si>
  <si>
    <t>MERCURY, MARS AND SATURN</t>
  </si>
  <si>
    <t>Mars; weathering; salt activity; fragmentation</t>
  </si>
  <si>
    <t>SPIRIT ROVER</t>
  </si>
  <si>
    <t>Large well rounded boulders and angular rock fragments characterizes the Martian landscape as seen on the recent excellent quality photos (except: Meridiani landing side, which formed by different processes, and is therefore not considered in this paper). Analyzing the different rock-shapes indicates a time sequence of emplacement, fragmentation and transport of different rocks on Mars, which might give interesting insight into transport and weathering processes. Larger commonly well rounded boulders were emplaced onto gravel plains. After emplacement, these rocks were fragmented and disassembled. Nests of angular rock fragments are marking the locations of preexisting larger rocks. Frequently, it is possible to reconstruct larger rounded rocks from smaller angular fragments. In other cases, transport after fragmentation obscured the relationship of the fragments. However, a strewn field of fragments is still reminiscent of the preexisting rock. Mechanical salt weathering could be a plausible explanation for the in situ fragmentation of larger rounded blocks into angular fragments. Impact or secondary air fall induced fragmentation produces very different patterns. Salt weathering of rocks is a common process in terrestrial environments. Salt crystallization in capillaries causes fragmentation of rocks, irrespective of the process of salt transportation and concentration. On Earth significant salt weathering can be observed in different climatic environments: in the transition zone of alluvial aprons and salt playas in deserts and in dry valleys of Antarctica. In terrestrial semi-arid areas the salt is transported by salt solution, which is progressively concentrated by evaporation. In Antarctic dry valleys freeze-thaw cycles causes salt transportation and crystallization resulting in rock fragmentation. This salt induced process can lead to complete destruction of rocks and converts rocks to fine sand. The efficient breakdown of rocks is dominating the landscape in some dry valleys of the Earth but possibly also on Mars [Malin, Salt weathering on Mars. JGR 79,26, pp. 3888-3894, 1974.]. However, irrespectively of the climatic environment a liquid brine is a necessity for salt induced fragmentation of rocks. If salt weathering is responsible for the fragmented rocks on the Martian surface it implies a temporary presence of liquid H20However, due to the present dry atmosphere on Mars, brines can only be present in restricted places without being in equilibrium with the atmosphere. (c) 2005 COSPAR. Published by Elsevier Ltd. All rights reserved.</t>
  </si>
  <si>
    <t>Max Planck Inst Chem, AG Planeten, Mainz Saaarstr 23, D-55122 Mainz, Germany</t>
  </si>
  <si>
    <t>Jagoutz, E (corresponding author), Max Planck Inst Chem, AG Planeten, Mainz Saaarstr 23, D-55122 Mainz, Germany.</t>
  </si>
  <si>
    <t>jagoutz@mpch-mainz.mpg.de</t>
  </si>
  <si>
    <t>10.1016/j.asr.2005.07.070</t>
  </si>
  <si>
    <t>BFV95</t>
  </si>
  <si>
    <t>WOS:000245033700020</t>
  </si>
  <si>
    <t>Rubin, AE</t>
  </si>
  <si>
    <t>Shock, post-shock annealing, and post-annealing shock in ureilites</t>
  </si>
  <si>
    <t>METEORITICS &amp; PLANETARY SCIENCE</t>
  </si>
  <si>
    <t>L-GROUP CHONDRITES; NOBLE-GASES; CARBONACEOUS CHONDRITES; ANTARCTIC UREILITES; THERMAL HISTORIES; NEBULAR PROCESSES; IRON METEORITES; KENNA UREILITE; PARENT BODY; RARE-GASES</t>
  </si>
  <si>
    <t>The thermal and shock histories of ureilites can be divided into four periods: 1) formation, 2) initial shock, 3) post-shock annealing, and 4) post-annealing shock. Period 1 occurred similar to 4.55 Ga ago when ureilites formed by melting chondritic material. Impact events during period 2 caused silicate darkening, undulose to mosaic extinction in olivines, and the formation of diamond, lonsdaleite, and chaoite from indigenous carbonaceous material. Alkali-rich fine-grained silicates may have been introduced by impact injection into ureilites during this period. About 57% of the ureilites were unchanged after period 2. During period 3 events, impact-induced annealing caused previously mosaicized olivine grains to become aggregates of small unstrained crystals. Some ureilites experienced reduction as FeO at the edges of olivine grains reacted with C from the matrix. Annealing may also be responsible for coarsening of graphite in a few ureilites, forming euhedral-appearing, idioblastic crystals. Orthopyroxene in Meteorite Hills (MET) 78008 may have formed from pigeonite by annealing during this period. The Rb-Sr internal isochron age of similar to 4.0 Ga for MET 78008 probably dates the annealing event. At this late date, impacts are the only viable heat source. About 36% of ureilites experienced period 3 events, but remained unchanged afterwards. During period 4, similar to 7% of the ureilites were shocked again, as is evident in the polymict breccia, Elephant Moraine (EET) 83309. This rock contains annealed mosaicized olivine aggregates composed of small individual olivine crystals that exhibit undulose extinction. Ureilites may have formed by impact-melting chondritic material on a primitive body with heterogeneous O isotopes. Plagioclase was preferentially lost from the system due to its low impedance to shock compression. Brief melting and rapid burial minimized the escape of planetary-type noble gases from the ureilitic melts. Incomplete separation of metal from silicates during impact melting left ureilites with relatively high concentrations of trace siderophile elements.</t>
  </si>
  <si>
    <t>Univ Calif Los Angeles, Inst Geophys &amp; Planetary Sci, Los Angeles, CA 90095 USA</t>
  </si>
  <si>
    <t>University of California System; University of California Los Angeles</t>
  </si>
  <si>
    <t>Rubin, AE (corresponding author), Univ Calif Los Angeles, Inst Geophys &amp; Planetary Sci, Los Angeles, CA 90095 USA.</t>
  </si>
  <si>
    <t>aerubin@ucla.edu</t>
  </si>
  <si>
    <t>METEORITICAL SOC</t>
  </si>
  <si>
    <t>FAYETTEVILLE</t>
  </si>
  <si>
    <t>DEPT CHEMISTRY/BIOCHEMISTRY, UNIV ARKANSAS, FAYETTEVILLE, AR 72701 USA</t>
  </si>
  <si>
    <t>1086-9379</t>
  </si>
  <si>
    <t>METEORIT PLANET SCI</t>
  </si>
  <si>
    <t>Meteorit. Planet. Sci.</t>
  </si>
  <si>
    <t>10.1111/j.1945-5100.2006.tb00197.x</t>
  </si>
  <si>
    <t>020OO</t>
  </si>
  <si>
    <t>WOS:000235919400010</t>
  </si>
  <si>
    <t>Haigh, JD; Roscoe, HK</t>
  </si>
  <si>
    <t>Haigh, Joanna D.; Roscoe, Howard K.</t>
  </si>
  <si>
    <t>Solar influences on polar modes of variability</t>
  </si>
  <si>
    <t>METEOROLOGISCHE ZEITSCHRIFT</t>
  </si>
  <si>
    <t>Colloquium in honor of Karin Labitzke on the Occasion of her 70th Birthday</t>
  </si>
  <si>
    <t>OCT 24, 2005</t>
  </si>
  <si>
    <t>Berlin, GERMANY</t>
  </si>
  <si>
    <t>NORTH-ATLANTIC OSCILLATION; SOUTHERN-HEMISPHERE; STRATOSPHERIC TEMPERATURE; CLIMATE-CHANGE; ANNULAR MODES; QBO; TROPOSPHERE; CYCLE; MODULATION; SIGNAL</t>
  </si>
  <si>
    <t>We present a multiple regression analysis of time series of the leading modes of variability in high latitudes, the Northern and Southern Annular Modes (NAM and SAM). The potential forcing factors we investigate include solar activity and stratospheric (volcanic) aerosol, the quasi-biennial oscillation, the El Nino-Southern Oscillation (ENSO) and stratospheric ozone concentrations. We investigate levels from the surface to the middle stratosphere and we also conduct a similar analysis of the North Atlantic Oscillation (NAO) in surface pressure. We find a significant trend in SAM at all levels and in surface NAM but not in the NAO. There is some correlation of ENSO with both the SAM and NAM, with warm events being associated with weakening of the polar vortices. Strong volcanic aerosol signals are found with different signs in the two hemispheres. There is a clear solar influence on the NAO but no statistically significant signals of solar forcing are found in either the NAM or SAM. The QBO is not detected except, marginally, in the NAM in winter. However, when a new index, the product of the solar and QBO indices, is used in place of the two factors individually then a good correlation is found throughout the atmosphere in the SAM, and at the lower levels in the winter NAM. The different results for the NAO and surface NAM lead us to conclude, speculatively, that a (solar) stratospheric influence on the troposphere may well be through two different routes. The first of these is the influence of low latitude lower stratospheric heating on the Hadley circulation and mid-latitude eddies and thus on the NAO; the second is modulation, by a combination of solar and QBO forcing, of the polar stratosphere which influences the annular modes in both the northern and southern hemispheres.</t>
  </si>
  <si>
    <t>Univ London Imperial Coll Sci Technol &amp; Med, Blackett Lab, London SW7 2AZ, England; British Antarctic Survey, Cambridge CB3 0ET, England</t>
  </si>
  <si>
    <t>Imperial College London; UK Research &amp; Innovation (UKRI); Natural Environment Research Council (NERC); NERC British Antarctic Survey</t>
  </si>
  <si>
    <t>Haigh, JD (corresponding author), Univ London Imperial Coll Sci Technol &amp; Med, Blackett Lab, Prince Consort Rd, London SW7 2AZ, England.</t>
  </si>
  <si>
    <t>j.haigh@imperial.ac.uk</t>
  </si>
  <si>
    <t>Haigh, Joanna D/F-6847-2014</t>
  </si>
  <si>
    <t>NERC [bas010020, bas010008] Funding Source: UKRI; Natural Environment Research Council [bas010020, bas010008] Funding Source: researchfish</t>
  </si>
  <si>
    <t>GEBRUDER BORNTRAEGER</t>
  </si>
  <si>
    <t>JOHANNESSTR 3A, D-70176 STUTTGART, GERMANY</t>
  </si>
  <si>
    <t>0941-2948</t>
  </si>
  <si>
    <t>METEOROL Z</t>
  </si>
  <si>
    <t>Meteorol. Z.</t>
  </si>
  <si>
    <t>10.1127/0941-2948/2006/0123</t>
  </si>
  <si>
    <t>066FJ</t>
  </si>
  <si>
    <t>WOS:000239214800015</t>
  </si>
  <si>
    <t>Smichowski, P; Vodopivez, C; Muñoz-Olivas, R; Gutierrez, AM</t>
  </si>
  <si>
    <t>Monitoring trace elements in selected organs of Antarctic penguin (Pygoscelis adeliae) by plasma-based techniques</t>
  </si>
  <si>
    <t>MICROCHEMICAL JOURNAL</t>
  </si>
  <si>
    <t>trace elements; antarctic penguins; chick individuals; liver; kidney; muscle; plasma spectrometric techniques</t>
  </si>
  <si>
    <t>HEAVY-METALS; MERCURY; SEALS; BIRDS</t>
  </si>
  <si>
    <t>A study was undertaken to evaluate the content and distribution of eight key elements, namely, As, Cd, Co, Cu, Hg, Mn, Ph and Se in liver, kidney and muscle of chick individuals of Adelie penguin (Pygoscelis adeliae). Samples were collected during the 2002/2003 austral summer season campaign around Jubany Station (Argentine scientific station), Potter Cove, King George Island. Solutions of organs were prepared by acid-assisted microwave (MW) digestion by employing HNO3 and H2O2. Instrumental techniques selected to analyze the different tissues were inductively coupled plasma optical emission spectroscopy (ICP OES) and inductively coupled plasma mass spectrometry (ICP-MS). A wide range of elements retention capacity among the different organs was observed and the ranges ascertained are as follows (in mu g g(-1)): As, 0.5 (liver)-0.8 (muscle); Cd, &lt; 0.07 (muscle)-3.4 (kidney); Co, 0.07 (liver)-0.7 (muscle); Cu, 0.6 (muscle)-18 (liver); Hg, 0.2 (kidney)-2.7 (liver); Mn, 1.5 (muscle)-10 (liver); Pb, 0.1 (muscle)-2.0 (liver); Se, 3.0 (muscle)-8.4 (liver). The observed trend in metal accumulation in the three organs of chick penguins was in the order Cu &gt; Mn &gt; Se &gt;&gt; As &gt; Co &gt; Pb &gt;&gt; Cd &gt; Hg. Levels of metals and metalloids were, in general terms, higher in liver that is a specific target organ for metal accumulation. This study aimed at contributing to the establishment of base-line data on potential pollutants of ecotoxicological interest in the Antarctic ecosystem. (c) 2005 Elsevier B.V. All rights reserved.</t>
  </si>
  <si>
    <t>Ctr Atom Constituyentes, Unidad Actividad Quim, Comis Nacl Energia Atom, Buenos Aires, DF, Argentina; Inst Antartico Argentino, Buenos Aires, DF, Argentina; Univ Complutense Madrid, Dept Quim Anal, Madrid 28040, Spain</t>
  </si>
  <si>
    <t>Comision Nacional de Energia Atomica (CNEA); Instituto Antartico Argentino; Complutense University of Madrid</t>
  </si>
  <si>
    <t>Ctr Atom Constituyentes, Unidad Actividad Quim, Comis Nacl Energia Atom, Av Gral Paz 1499, Buenos Aires, DF, Argentina.</t>
  </si>
  <si>
    <t>smichows@cnea.gov.ar</t>
  </si>
  <si>
    <t>Muñoz-Olivas, Riansares/K-4491-2014</t>
  </si>
  <si>
    <t>Muñoz-Olivas, Riansares/0000-0003-4385-9520</t>
  </si>
  <si>
    <t>ELSEVIER</t>
  </si>
  <si>
    <t>RADARWEG 29, 1043 NX AMSTERDAM, NETHERLANDS</t>
  </si>
  <si>
    <t>0026-265X</t>
  </si>
  <si>
    <t>1095-9149</t>
  </si>
  <si>
    <t>MICROCHEM J</t>
  </si>
  <si>
    <t>Microchem J.</t>
  </si>
  <si>
    <t>10.1016/j.microc.2005.04.001</t>
  </si>
  <si>
    <t>Chemistry, Analytical</t>
  </si>
  <si>
    <t>Chemistry</t>
  </si>
  <si>
    <t>017GP</t>
  </si>
  <si>
    <t>WOS:000235682400001</t>
  </si>
  <si>
    <t>Luetz-Meindl, U; Luetz, C</t>
  </si>
  <si>
    <t>Luetz-Meindl, Ursula; Luetz, Cornelius</t>
  </si>
  <si>
    <t>Analysis of element accumulation in cell wallattached and intracellular particles of snow algae by EELS and ESI</t>
  </si>
  <si>
    <t>MICRON</t>
  </si>
  <si>
    <t>International Workshop on Enhanced Data Generated with Electrons</t>
  </si>
  <si>
    <t>MAY 01-05, 2005</t>
  </si>
  <si>
    <t>Grundlsee, AUSTRIA</t>
  </si>
  <si>
    <t>aluminium; energy filtering; nutrient uptake; silicon; TEM</t>
  </si>
  <si>
    <t>ENERGY-LOSS SPECTROSCOPY; TRANSMISSION ELECTRON-MICROSCOPY; HIGH-PRESSURE-FROZEN; CHLAMYDOMONAS-NIVALIS; SUBCELLULAR-LOCALIZATION; ROOT-CELLS; SILICON; MECHANISM; NUTRIENT; SATIVUM</t>
  </si>
  <si>
    <t>Snow algae frequently occur in alpine and polar permanent snow ecosystems and have developed adaptations to their harsh environment, where extreme temperature regimes high irradiation and low nutrient levels prevail. They live in a unique microhabitat, namely the liquid water between snow crystals. The predominant form appears as 'red snow' and in polar environment also 'green snow' frequently occurs. Light microscopy showed that most cells are densely covered by non-biotic particles of so far unknown composition. As snow normally contains very low amounts of nutrients, introduced mainly airborne like dust and precipitation, the inorganic particles at the surface of the snow algae may be important for their survival. By using electron energy loss spectroscopy (EELS) and electron spectroscopic imaging (ESI), we investigated element distribution in ultrathin sections of snow algae from different polar (Svalbard, 5 m a.s.l., 79 degrees N and maritime Antarctic, King George Island, 10 m a.s.l., 62 degrees S) and alpine habitats (2400-3 100 m a.s.l. Tyrol) for the present study. It turned out that the main elements of the cell wall attached particles are Si, Al, Fe and 0 independently from the origin of the snow algae. Interestingly, the same elements were also found in vacuolar compartments inside the cells. These vacuoles contain electron dense granules or crystals and are frequently found to be connected to the cortical cytoplasm. This finding suggests an uptake mechanism of the respective elements by pinocytosis. Co-transport of toxic aluminium together with silicon may be unavoidable as the inorganic nutrient uptake of the snow algae is limited to the thin water layer between the ice crystals. However, formation of insoluble aluminium silicates may serve as detoxification mechanism. (c) 2005 Elsevier Ltd. All rights reserved.</t>
  </si>
  <si>
    <t>Salzburg Univ, Dept Cell Biol, Plant Physiol Div, A-5020 Salzburg, Austria; Univ Innsbruck, Inst Bot, A-6020 Innsbruck, Austria</t>
  </si>
  <si>
    <t>Salzburg University; University of Innsbruck</t>
  </si>
  <si>
    <t>Luetz-Meindl, U (corresponding author), Salzburg Univ, Dept Cell Biol, Plant Physiol Div, Hellbrunnerstr 34, A-5020 Salzburg, Austria.</t>
  </si>
  <si>
    <t>ursula.meindl@sbg.ac.at</t>
  </si>
  <si>
    <t>0968-4328</t>
  </si>
  <si>
    <t>Micron</t>
  </si>
  <si>
    <t>10.1016/j.micron.2005.11.004</t>
  </si>
  <si>
    <t>Microscopy</t>
  </si>
  <si>
    <t>060MN</t>
  </si>
  <si>
    <t>WOS:000238806400013</t>
  </si>
  <si>
    <t>Hayward, BW; Kawagata, S; Grenfell, HR; Droxler, AW; Shearer, M</t>
  </si>
  <si>
    <t>Hayward, Bruce W.; Kawagata, Shungo; Grenfell, Hugh R.; Droxler, Andre W.; Shearer, Michelle</t>
  </si>
  <si>
    <t>Mid-Pleistocene extinction of bathyal benthic foraminifera in the Caribbean Sea</t>
  </si>
  <si>
    <t>MICROPALEONTOLOGY</t>
  </si>
  <si>
    <t>NORTHERN-HEMISPHERE GLACIATION; OCEAN THERMOHALINE CIRCULATION; SOUTH ATLANTIC-OCEAN; DEEP-WATER; PALEOCEANOGRAPHIC CHANGES; CLIMATE TRANSITION; LATE PLIOCENE; INDIAN-OCEAN; ICE VOLUME; RECORD</t>
  </si>
  <si>
    <t>During the mid-Pleistocene Transition (MPT), 2 families, 14 genera and 41 species of benthic foraminifera (Extinction Group) declined in abundance (8-12% of early Pleistocene benthic foraminiferal fauna) and finally disappeared at mid-bathyal depths in the Caribbean Sea (ODP Site 1000A, 916m depth), as part of the global extinction of at least 73 deep-water species at this time. At this site, the final phase of pulsed glacial decline, partial interglacial recoveries (0.8-0.67 Ma), and final extinction (0.58 Ma) was essentially the same as the youngest level so far documented elsewhere (0.57 Ma). Extinction Group specimens had smaller average sizes during periods of decline than during favorable periods with higher abundances. Census counts on different size fractions indicate that this extinction event is best recorded by studies of shells in the 150-300 mu m size range. Pteropod dissolution proxies indicate that intermediate waters in the Caribbean became less corrosive around the onset of the MPT (after c. 1.2 Ma). This is interpreted to be a result of increased input of northern hemisphere-sourced intermediate water at the expense of southern-sourced Antarctic Intermediate Water. Intervals of enhanced Extinction Group decline in intermediate waters in the Caribbean occurred during glacials around the start (1.15-1.05 Ma) and end (0.83-0.65 Ma) of the MPT. During these glacial periods preservation of carbonate was optimal and a(13)C values high (in source waters at mid-depths in the North Atlantic), suggesting a causal link with enhanced inflow of a less-corrosive, colder, nutrient-depleted, well-ventilated water mass, such as Glacial North Atlantic Intermediate Water.</t>
  </si>
  <si>
    <t>Geomarine Res, Auckland, New Zealand; Rice Univ, Dept Earth Sci, Houston, TX 77251 USA</t>
  </si>
  <si>
    <t>Rice University</t>
  </si>
  <si>
    <t>Hayward, BW (corresponding author), Geomarine Res, 49 Swainston Rd,St Johns, Auckland, New Zealand.</t>
  </si>
  <si>
    <t>b.hayward@geomarine.org.nz; s.kawagata@geomarine.org.nz; h.grenfell@geomarine.org.nz; andre@rice.edu</t>
  </si>
  <si>
    <t>HAYWARD, BRUCE W/AAG-2597-2019</t>
  </si>
  <si>
    <t>Kawagata, Shungo/0000-0001-6147-9690; Hayward, Bruce W./0000-0003-1302-7686</t>
  </si>
  <si>
    <t>MICRO PRESS</t>
  </si>
  <si>
    <t>FLUSHING</t>
  </si>
  <si>
    <t>6530 KISSENA BLVD, FLUSHING, NY 11367 USA</t>
  </si>
  <si>
    <t>0026-2803</t>
  </si>
  <si>
    <t>1937-2795</t>
  </si>
  <si>
    <t>Micropaleontology</t>
  </si>
  <si>
    <t>10.2113/gsmicropal.52.3.245</t>
  </si>
  <si>
    <t>077DK</t>
  </si>
  <si>
    <t>WOS:000240007700003</t>
  </si>
  <si>
    <t>Matthews, DM; Parkinson, ML; Dyson, PL; Devlin, JC</t>
  </si>
  <si>
    <t>Shea, MA; Blix, TA; Rees, D</t>
  </si>
  <si>
    <t>Matthews, D. M.; Parkinson, M. L.; Dyson, P. L.; Devlin, J. C.</t>
  </si>
  <si>
    <t>Optimising estimates of mesospheric neutral wind using the TIGER SuperDARN radar</t>
  </si>
  <si>
    <t>MIDDLE AND UPPER ATMOSPHERES, ACTIVE EXPERIMENTS, AND DUSTY PLASMAS</t>
  </si>
  <si>
    <t>neutral winds; meteors; TIGER</t>
  </si>
  <si>
    <t>METEOR ECHOES; NETWORK OBSERVATIONS; HF RADAR; DYNAMICS</t>
  </si>
  <si>
    <t>Super Dual Auroral Radar Network (SuperDARN) HF backscatter radars scan 16 beam directions over a field of view of similar to 52 degrees. In the common mode of operation, data is collected using 45-km range gates and 7-s integrations on each beam. Application of a beam-swinging algorithm permits mesospheric neutral winds to be estimated from the line-of-sight (LOS) Doppler velocity of meteor echoes detected at near ranges (&lt; 600 km). Larger meteor echo detection rates better constrain the solutions and thereby increase the accuracy of wind estimates. Greater rates also lead to wind estimates with better time and height resolution. In this study, meteor echo detection rates were increased by running dedicated radar control programs on the Tasman Geospace Environment Radar (TIGER) Tasmania radar (147.2 degrees E, 43.4 degrees S). This involved the use of shorter 15-km range gates and 2-s integration times. The Doppler characteristics of different echo types at meteor echo ranges were identified. The echoes were then filtered according to these characteristics, and their suitability for estimating neutral winds investigated. One echo type was clearly of ionospheric origin, forming thin, continuous traces decreasing in group range from similar to 1200 to similar to 300 km before midnight. These descending plasma streams (DPS) merged into and contaminated the meteor scatter observed by TIGER. However, they will be less of a problem for the planned network of storm time SuperDARN radars to be deployed at mid-latitudes for the study of major substorms and storms which occur less frequently. (c) 2006 Published by Elsevier Ltd on behalf of COSPAR.</t>
  </si>
  <si>
    <t>[Matthews, D. M.; Parkinson, M. L.; Dyson, P. L.] La Trobe Univ, Dept Phys, Melbourne, Vic 3086, Australia; [Devlin, J. C.] La Trobe Univ, Dept Elect Engn, Melbourne, Vic 3086, Australia</t>
  </si>
  <si>
    <t>La Trobe University; La Trobe University</t>
  </si>
  <si>
    <t>Matthews, DM (corresponding author), La Trobe Univ, Dept Phys, Melbourne, Vic 3086, Australia.</t>
  </si>
  <si>
    <t>d.matthews@latrobe.edu.au</t>
  </si>
  <si>
    <t>Australian Research Council; Australian Antarctic Science Advisory Committee; TIGER; TMS</t>
  </si>
  <si>
    <t>Australian Research Council(Australian Research Council); Australian Antarctic Science Advisory Committee; TIGER; TMS</t>
  </si>
  <si>
    <t>This work was supported by the Australian Research Council, the Australian Antarctic Science Advisory Committee, and the TIGER Consortium Partners (http://www.tiger.latrobe.edu.au/). We thank Sessai Yukimatu-san for providing us with access to his new TMS radar operating system, and Harvey Ye for his help in the design and operation of our experiments.</t>
  </si>
  <si>
    <t>10.1016/j.asr.2005.07.046</t>
  </si>
  <si>
    <t>Astronomy &amp; Astrophysics; Geosciences, Multidisciplinary; Meteorology &amp; Atmospheric Sciences</t>
  </si>
  <si>
    <t>Astronomy &amp; Astrophysics; Geology; Meteorology &amp; Atmospheric Sciences</t>
  </si>
  <si>
    <t>BFX11</t>
  </si>
  <si>
    <t>WOS:000245237100008</t>
  </si>
  <si>
    <t>Chung, JK; Kim, YH; Won, YI; Moon, BK; Oh, TH</t>
  </si>
  <si>
    <t>Chung, J. -K.; Kim, Y. H.; Won, Y. -I.; Moon, B. K.; Oh, T. H.</t>
  </si>
  <si>
    <t>Observation of temperatures and emission rates from the OH and O2 nightglow over a southern high latitude station</t>
  </si>
  <si>
    <t>mesospheric airglow; tidal oscillation at high latitude; gravity waves</t>
  </si>
  <si>
    <t>POLE STATION; AIRGLOW; OSCILLATIONS; WAVES; MESOSPHERE</t>
  </si>
  <si>
    <t>A Spectral Airglow Temperature Imager (SATI) was operated at King Sejong Station (62 degrees 13'S, 58 degrees 47'W), Korea Antarctic Research Station during the period of March, 2002-September, 2003. We analyze rotational temperatures and emission rates of the O-2 (0-1) and OH (6-2) nightglows obtained at 67 nights with clear sky lasting more than 4 h. A spectral analysis of the dataset shows two dominant oscillations with periods of 4 and 6 h. The 6-h oscillations have a nearly constant phase, whereas the 4-h oscillations have nearly random phases. Although the, harmonic periods of both oscillations are suggestive of tidal origin, the 4-h oscillation may have interference by other sources such as gravity waves. The 6-h oscillations could be interpreted as zonally symmetric non-migrating tides because migrating tides except high order modes have very weak amplitudes at high latitudes according to the classical tidal theory. For most cases of the observed oscillations the temperature peak leads the intensity peak, which is consistent with theoretical models for zonally symmetric tides, but contrary to other theoretical models for waves. It is needed to resolve among theoretical models whether or not zonally symmetric tide cause temperature variation prior to intensity variation in mesospheric airglows. (c) 2006 Published by Elsevier Ltd on behalf of COSPAR.</t>
  </si>
  <si>
    <t>[Chung, J. -K.] Korea Astron &amp; Space Sci Inst, Space Geodesy Res Grp, Taejon 305348, South Korea; [Kim, Y. H.; Moon, B. K.; Oh, T. H.] Chungnam Natl Univ, Dept Astronom &amp; Space Sci, Taejon 305764, South Korea; [Won, Y. -I.] Korea Ocean R&amp;D Inst, Korea Polar Res Inst, Ansan, South Korea</t>
  </si>
  <si>
    <t>Korea Astronomy &amp; Space Science Institute (KASI); Chungnam National University; Korea Institute of Ocean Science &amp; Technology (KIOST); Korea Polar Research Institute (KOPRI)</t>
  </si>
  <si>
    <t>Kim, YH (corresponding author), Chungnam Natl Univ, Dept Astronom &amp; Space Sci, Taejon 305764, South Korea.</t>
  </si>
  <si>
    <t>Yhkim@cnu.ac.kr</t>
  </si>
  <si>
    <t>Chunbg, Jong-Kyun/AAI-9934-2020; Kim, Yong Ha/AAS-9908-2021</t>
  </si>
  <si>
    <t>KORDI [PP03105-04, PN47500]; Korea Science and Engineering Foundation [R14-2002-043-01000-0]</t>
  </si>
  <si>
    <t>KORDI; Korea Science and Engineering Foundation(Korea Science and Engineering Foundation)</t>
  </si>
  <si>
    <t>This research was supported by the KORDI grants, PP03105-04 and PN47500. Y.H.K. acknowledges the financial support of the Korea Science and Engineering Foundation (R14-2002-043-01000-0).</t>
  </si>
  <si>
    <t>10.1016/j.asr.2005.07.041</t>
  </si>
  <si>
    <t>WOS:000245237100011</t>
  </si>
  <si>
    <t>Jiang, JH; Eckermann, SD; Wu, DL; Wang, DY</t>
  </si>
  <si>
    <t>Jiang, Jonathan H.; Eckermann, Stephen D.; Wu, Dong L.; Wang, Ding Yi</t>
  </si>
  <si>
    <t>Inter-annual variation of gravity waves in the Arctic and Antarctic winter middle atmosphere</t>
  </si>
  <si>
    <t>Arctic; Antarctic; middle atmosphere; gravity wave; UARS MLS; satellite observation</t>
  </si>
  <si>
    <t>LIMB SOUNDER OBSERVATIONS; MOUNTAIN WAVES; STRATOSPHERE; MLS; CLIMATOLOGY; SPECTRA; CLOUDS</t>
  </si>
  <si>
    <t>High latitude, middle atmospheric (28-80 km) gravity wave observations from the Microwave Limb sounder (MLS) on the Upper Atmosphere Research Satellite (UARS) are available during five Arctic and Antarctic winters between 1991 and 1997. Newer data from NOAA Advanced Microwave Sounding Unit (AMSU) instruments have been introduced recently, in order to extend the gravity wave measurements from 1998 to present. Analyses of MLS and AMSU data show substantial inter-annual variability in both magnitude and spatial patterns of gravity wave activity at both Arctic and Antarctic latitudes. (c) 2005 COSPAR. Published by Elsevier Ltd. All rights reserved.</t>
  </si>
  <si>
    <t>[Jiang, Jonathan H.; Wu, Dong L.] CALTECH, Jet Prop Lab, 4800 Oak Grove Dr,Mail Stop 183-701, Pasadena, CA 91109 USA; [Eckermann, Stephen D.] Naval Res Lab, Middle Atmosphere Dynam Sect, Washington, DC USA; [Wang, Ding Yi] Univ Karlsruhe, Inst Meteor &amp; Klimaforschung, Forschungszentrum Karlsruhe GmbH, Karlsruhe, Germany</t>
  </si>
  <si>
    <t>California Institute of Technology; National Aeronautics &amp; Space Administration (NASA); NASA Jet Propulsion Laboratory (JPL); United States Department of Defense; United States Navy; Naval Research Laboratory; Helmholtz Association; Karlsruhe Institute of Technology</t>
  </si>
  <si>
    <t>Jiang, JH (corresponding author), CALTECH, Jet Prop Lab, 4800 Oak Grove Dr,Mail Stop 183-701, Pasadena, CA 91109 USA.</t>
  </si>
  <si>
    <t>jonathan@mls.jpl.nasa.gov</t>
  </si>
  <si>
    <t>Jet Propulsion Laboratory, California Institute of Technology; NASA; Office of Naval Research through the Naval Research Laboratorys; NASA Office of Space Sciences Geospace Sciences Program; Forschungszentrum Karlsruhe GmbH und Universitat Karlsruhe; Institut fur Meteorologie und Klimaforschung (IMK), Karlsruhe, Germany</t>
  </si>
  <si>
    <t>Jet Propulsion Laboratory, California Institute of Technology; NASA(National Aeronautics &amp; Space Administration (NASA)); Office of Naval Research through the Naval Research Laboratorys; NASA Office of Space Sciences Geospace Sciences Program; Forschungszentrum Karlsruhe GmbH und Universitat Karlsruhe; Institut fur Meteorologie und Klimaforschung (IMK), Karlsruhe, Germany</t>
  </si>
  <si>
    <t>This study was supported by the Jet Propulsion Laboratory, California Institute of Technology, under contract with NASA. The authors also acknowledge the support of the Office of Naval Research through the Naval Research Laboratorys 6.1 research program, NASA Office of Space Sciences Geospace Sciences Program, and the Forschungszentrum Karlsruhe GmbH und Universitat Karlsruhe, Institut fur Meteorologie und Klimaforschung (IMK), Karlsruhe, Germany. Jonathan Jiang thanks Prof. Herbert Fischer, Dr. Gabriele Stiller and the IMK science team for helpful comments and suggestions on this manuscript.</t>
  </si>
  <si>
    <t>10.1016/j.asr.2005.09.036</t>
  </si>
  <si>
    <t>WOS:000245237100018</t>
  </si>
  <si>
    <t>Roscoe, HK</t>
  </si>
  <si>
    <t>Roscoe, H. K.</t>
  </si>
  <si>
    <t>The Brewer-Dobson circulation in the stratosphere and mesosphere - Is there a trend?</t>
  </si>
  <si>
    <t>Brewer-Dobson circulation; stratosphere; mesosphere</t>
  </si>
  <si>
    <t>WATER-VAPOR; CLIMATE; TEMPERATURES; TROPOSPHERE; TROPOPAUSE; WINTER</t>
  </si>
  <si>
    <t>The Brewer-Dobson circulation brings tropospheric air, accompanied by CFCs and greenhouse gases, into the stratosphere. Many models predict an increased circulation associated with an increase in greenhouse gases, such as that since the 1960s. A recent observation supports this: the rate at which total ozone increases in Antarctica during early winter is consistent with the descent and convergence that are part of the Brewer-Dobson circulation; at 65 degrees S the rate doubled between the 1960s and 1990s. Another recent observation may also support this: the decrease in temperature since 1960 in the Antarctic mid-winter lower stratosphere is much less than the decrease calculated from the greenhouse effect of increased H2O, suggesting less CH4 oxidation in the 1970s; this could be caused by an increase in Brewer-Dobson circulation during the 1970s. An important paradox may be resolved by an increase in Brewer-Dobson circulation: the decrease in tropical cold-point temperature since the 1960s conflicts with the increase in mid-latitude H2O in the lower stratosphere, if it represents an increase at tropical entry of H2O; the conflict could be resolved if dehydration during stratospheric entry is incomplete and the circulation has increased. (c) 2006 COSPAR. Published by Elsevier Ltd. All rights reserved.</t>
  </si>
  <si>
    <t>Roscoe, HK (corresponding author), British Antarctic Survey, NERC, Madingley Rd, Cambridge CB3 0ET, England.</t>
  </si>
  <si>
    <t>hkro@bas.ac.uk</t>
  </si>
  <si>
    <t>NERC [bas010008, bas010020] Funding Source: UKRI</t>
  </si>
  <si>
    <t>NERC(UK Research &amp; Innovation (UKRI)Natural Environment Research Council (NERC))</t>
  </si>
  <si>
    <t>10.1016/j.asr.2006.02.078</t>
  </si>
  <si>
    <t>WOS:000245237100022</t>
  </si>
  <si>
    <t>Blagoveshchenskaya, NF; Kornienko, VA; Borisova, TD; Rietveld, MT; Bösinger, T; Thidé, B; Leyser, TB; Brekke, A</t>
  </si>
  <si>
    <t>Blagoveshchenskaya, N. F.; Kornienko, V. A.; Borisova, T. D.; Rietveld, M. T.; Bosinger, T.; Thide, B.; Leyser, T. B.; Brekke, A.</t>
  </si>
  <si>
    <t>Heater-induced phenomena in a coupled ionosphere-magnetosphere system</t>
  </si>
  <si>
    <t>ionosphere (active experiments, ionosphere-magnetosphere interaction); radio science (nonlinear phenomena)</t>
  </si>
  <si>
    <t>RADIO-WAVES; AURORAL ELECTROJET; HIGH-LATITUDES; SPORADIC-E; AIRGLOW; PLASMA; EISCAT; ARECIBO</t>
  </si>
  <si>
    <t>Experimental results from HF pumping experiments in the nightside auroral E and F region are reported. The experiments were carried out by the use of the EISCAT HF heating facility located near Tromso, Norway, allowing HF pumping the ionosphere in a near magnetic field-aligned direction. We present experimental results from multi-instrument observations related to heater-induced phenomena in a coupled ionosphere-magnetosphere system. The following results have been observed on different occasions: a reverberation effect in scattered signals observed simultaneously on two diagnostic paths which is an indication of Alfven wave generation. This phenomenon was seen under specific disturbed background geophysical conditions, namely, a high electron density in the F region up to 8 MHz produced by soft electron precipitation from the magnetosphere along with low electron density in lower ionosphere; increased ionospheric electric fields; ion outflows from the ionosphere. On another occasion a magnetospheric response to heater turning on and off was found from magnetic pulsation observations over a frequency range up to 5 Hz (the upper frequency limit of the sensitive magnetometer at Kilpisjarvi, located near Tromso). The response manifests itself about 1 min after the heater is turned on and off. Other results have shown the modification of a natural amoral arc and local spiral-like formation. It is thought that a local heater-driven current system is formed. An interesting feature is the generation of the heater-induced ion outflows from the ionosphere. They are observed in night hours under both quiet and disturbed magnetic conditions. (c) 2005 COSPAR. Published by Elsevier Ltd. All rights reserved.</t>
  </si>
  <si>
    <t>Arctic &amp; Antarctic Res Inst, Dept Geophys, St Petersburg 199397, Russia; EISCAT, N-9027 Ramfjordbotn, Norway; Univ Oulu, FIN-90014 Oulu, Finland; Swedish Inst Space Phys, SE-75221 Uppsala, Sweden; Univ Tromso, N-9037 Tromso, Norway</t>
  </si>
  <si>
    <t>Arctic &amp; Antarctic Research Institute; University of Oulu; UiT The Arctic University of Tromso</t>
  </si>
  <si>
    <t>Blagoveshchenskaya, NF (corresponding author), Arctic &amp; Antarctic Res Inst, Dept Geophys, 38 Bering St, St Petersburg 199397, Russia.</t>
  </si>
  <si>
    <t>nataly@aari.nw.ru; mike@eiscat.uit.no; tilmann.bosinger@oulu.fi; bt@irfu.se; Asgeir.Brekke@phys.uit.no</t>
  </si>
  <si>
    <t>Borisova, Tatiana/AAK-7698-2020; Blagoveshchenskaya, Nataly/S-4342-2017</t>
  </si>
  <si>
    <t>Thide, Bo/0000-0001-7086-8049; Blagoveshchenskaya, Nataly/0000-0003-1752-3273; Borisova, Tatiana/0000-0003-1727-5310</t>
  </si>
  <si>
    <t>10.1016/j.asr.2004.12.047</t>
  </si>
  <si>
    <t>WOS:000245237100031</t>
  </si>
  <si>
    <t>Blagoveshchenskaya, NF; Borisova, TD; Kornienko, VA; Leyser, TB; Rietveld, MT; Thidé, B</t>
  </si>
  <si>
    <t>Blagoveshchenskaya, N. F.; Borisova, T. D.; Kornienko, V. A.; Leyser, T. B.; Rietveld, M. T.; Thide, B.</t>
  </si>
  <si>
    <t>Artificial field-aligned irregularities in the nightside auroral ionosphere</t>
  </si>
  <si>
    <t>powerful HF radio wave; auroral ionosphere; nonlinear phenomena; artificial field-aligned irregularities; ionosphere modification; bistatic HF doppler radio scatter</t>
  </si>
  <si>
    <t>E-REGION IRREGULARITIES; STRIATIONS; TROMSO; LATITUDES; CUTLASS; SHIFT</t>
  </si>
  <si>
    <t>Experimental results from two Tromso HF heating experiments in the nightside high latitudinal F region are examined. Bi-static scatter measurements of HF diagnostic signals were carried out on the London-Tromso-St. Petersburg and Pori-Tromso-St. Petersburg paths using a Doppler spectral method. The properties and behaviour of artificial field-aligned small-scale irregularities (striations) in the nightside high latitudinal F-region in course of the Tromso ionospheric modification experiments are studied. Experimental studies have been performed by the use of phased array 1 with a bearnwidth of 6 degrees instead of 12-14 degrees in phased array 2, more often used in Tromso ionospheric modification experiments. The comparison between two experiments carried out in the same background geophysical conditions, shows the strongest striations in the field-aligned position of the heater beam. Possible explanation for this angular dependence is self-focusing of HF pump waves on striations causing the energy to be distributed asymmetrically. A principal question related to HF heating experiments is how is the disturbed auroral ionosphere modified. The results obtained on two paths simultaneously have shown that the strong heater-induced striations were observed along with natural ones. Velocities of heater-induced striations were quite different at different parts of the heated volume. It is suggested that the heater-induced striations can be grouped in two patches at different heights possibly due to the temperature-gradient-driven instability. (c) 2004 COSPAR. Published by Elsevier Ltd. All rights reserved.</t>
  </si>
  <si>
    <t>[Blagoveshchenskaya, N. F.; Borisova, T. D.; Kornienko, V. A.] Arctic &amp; Antarctic Res Inst, Dept Geophys, 38 Bering St, St Petersburg 199397, Russia; [Leyser, T. B.; Thide, B.] Swedish Inst Space Phys, SE-75221 Uppsala, Sweden; [Rietveld, M. T.] EISCAT, N-9027 Ramfjordbotn, Norway</t>
  </si>
  <si>
    <t>Arctic &amp; Antarctic Research Institute</t>
  </si>
  <si>
    <t>nataly@aari.nw.ru; mike@eiscat.uit.no; bt@irfu.se</t>
  </si>
  <si>
    <t>Borisova, Tatiana/AAK-7698-2020</t>
  </si>
  <si>
    <t>Finland (SA); France (CNRS); Federal Republic of Germany (MPG); Japan (NIPR); Norway (NFR); Sweden (NFR); United Kingdom (PPARC); INTAS [03515583]; RFBR [040564160]</t>
  </si>
  <si>
    <t>Finland (SA); France (CNRS)(Centre National de la Recherche Scientifique (CNRS)); Federal Republic of Germany (MPG)(Max Planck Society); Japan (NIPR); Norway (NFR)(Research Council of Norway); Sweden (NFR)(Research Council of Norway); United Kingdom (PPARC); INTAS(INTAS); RFBR(Russian Foundation for Basic Research (RFBR))</t>
  </si>
  <si>
    <t>We thank the Director and Staff of the EISCAT Scientific Association. EISCAT is an International Association supported by Finland (SA), France (CNRS), the Federal Republic of Germany (MPG), Japan (NIPR), Norway (NFR), Sweden (NFR) and the United Kingdom (PPARC). This work is supported by INTAS, Grant 03515583 and by RFBR, Grant 040564160.</t>
  </si>
  <si>
    <t>10.1016/j.asr.2004.12.008</t>
  </si>
  <si>
    <t>WOS:000245237100032</t>
  </si>
  <si>
    <t>Krankowski, A; Shagimuratov, II; Baran, LW; Ephishov, II; Tepenitzyna, NJ</t>
  </si>
  <si>
    <t>Krankowski, A.; Shagimuratov, I. I.; Baran, L. W.; Ephishov, I. I.; Tepenitzyna, N. J.</t>
  </si>
  <si>
    <t>The occurrence of polar cap patches in TEC fluctuations detected using GPS measurements in southern hemisphere</t>
  </si>
  <si>
    <t>GPS; TEC fluctuations; modeling of ionosphere; polar cap patches</t>
  </si>
  <si>
    <t>SYSTEM PHASE FLUCTUATIONS; F-REGION PATCHES; LAYER PATCHES; IRREGULARITIES; WINTER; BLOBS</t>
  </si>
  <si>
    <t>GPS technique is widely used to study the global structure and dynamics of the ionosphere. This paper presents data on the occurrence of large-scale ionospheric irregularities observed at Antarctic stations McMurdo-MCM4 (-78N, 167E, Phi = 80 degrees), Casey-CAS1 (-66N, 110E, Phi = 80 degrees), Mawson-MAW1 (-68N, 63E, Phi = 71 degrees), and Davis-DAV1 (-69N, 78E, Phi = 75 degrees) in 2001. The irregularities caused strong Total Electron Content fluctuations. The intensity of TEC fluctuations was estimated with the ROT parameter and rate of TEC index (ROTI) expressed in TECU/min. Storm-time development of TEC fluctuations are presented for two geomagnetic active periods: June and September 2001. Data on temporal variations in TEC along individual satellites passes were also analyzed. Polar patches were associated with deep TEC fluctuations as the TEC enhancements were 2-10 times larger than the background, whereas the TEC increased by 10-50 TECU in about 5-10 min. The duration of such structures is 10-20 min. At 4-5 h interval, 3-5 strong and some weak patches were detected. The activity of patches depends to a low degree only on the magnetic activity index Kp. The intensity of TEC fluctuations increases during substorm activity. Diurnal, seasonal dependence, and longitudinal features of the occurrence of polar patches are also presented in the report. (c) 2005 COSPAR. Published by Elsevier Ltd. All rights reserved.</t>
  </si>
  <si>
    <t>[Krankowski, A.; Baran, L. W.] Univ Warmia &amp; Mazury, Inst Geodesy, Oczapowski St 1, PL-10957 Olsztyn, Poland; [Shagimuratov, I. I.; Ephishov, I. I.; Tepenitzyna, N. J.] WD IZMIRAN, Kaliningrad, Russia</t>
  </si>
  <si>
    <t>University of Warmia &amp; Mazury; Institute of Geodesy &amp; Cartography; Russian Academy of Sciences; Pushkov Institute of Terrestrial Magnetism, Ionosphere &amp; Radio Wave Propagation</t>
  </si>
  <si>
    <t>Krankowski, A (corresponding author), Univ Warmia &amp; Mazury, Inst Geodesy, Oczapowski St 1, PL-10957 Olsztyn, Poland.</t>
  </si>
  <si>
    <t>kand@uwm.edu.pl; pcizmiran@gazinter.net</t>
  </si>
  <si>
    <t>Polish State Committee for Scientific Research [5T12E 033 23]</t>
  </si>
  <si>
    <t>Polish State Committee for Scientific Research(Polish State Committee for Scientific Research)</t>
  </si>
  <si>
    <t>The authors are grateful to the IGS community for providing GPS permanent data. These studies have been supported by the Grant 5T12E 033 23 of the Polish State Committee for Scientific Research.</t>
  </si>
  <si>
    <t>10.1016/j.asr.2005.12.006</t>
  </si>
  <si>
    <t>WOS:000245237100047</t>
  </si>
  <si>
    <t>Aquilué, R; Bergadi, P; Deumal, M; Pijoan, JL</t>
  </si>
  <si>
    <t>Aquilue, Ricard; Bergadi, Pau; Deumal, Marc; Pijoan, J. L.</t>
  </si>
  <si>
    <t>Multicarrier symbol design for hf transmissions from the Antarctica based on real channel measurements</t>
  </si>
  <si>
    <t>MILCOM 2006, VOLS 1-7</t>
  </si>
  <si>
    <t>IEEE Military Communications Conference (MILCOM 2006)</t>
  </si>
  <si>
    <t>OCT 23-25, 2006</t>
  </si>
  <si>
    <t>OFDM</t>
  </si>
  <si>
    <t>Last fifteen Years improvements in HF digital systems have made ionospheric communications a true alternative to low bit rate, long distance links, especially in the polar caps where alignment with geostationary satellites is not always possible. Our previous research efforts were focused on using pseudo-noise (PN) sequences and Orthogonal Frequency Division Multiplexing (OFDM) pilot symbols to evaluate the 7900 miles link from the Spanish Antarctic Base Juan Carlos I to Spain, crossing the equatorial belt. In this paper we face the problem of designing the OFDM physical layer. Two multicarrier transmission schemes are proposed and compared based on channel measured transfer functions and noise plus interference records. Special attention is paid to pilot pattern design in order to maximize the system performance while assuring high power and bandwidth efficiency. The quality and throughput in real transmissions from the Antarctica, as well as the evolution of BER inftont of interferences, are studied.</t>
  </si>
  <si>
    <t>[Aquilue, Ricard; Bergadi, Pau; Deumal, Marc; Pijoan, J. L.] Ramon Llull Univ, Dept Commun &amp; Signal Theory, La Salle Engn, Pg Bonanova 8, Barcelona, Spain</t>
  </si>
  <si>
    <t>Universitat Ramon Llull</t>
  </si>
  <si>
    <t>Aquilué, R (corresponding author), Ramon Llull Univ, Dept Commun &amp; Signal Theory, La Salle Engn, Pg Bonanova 8, Barcelona, Spain.</t>
  </si>
  <si>
    <t>Pijoan, Joan Lluis/S-3319-2018</t>
  </si>
  <si>
    <t>Pijoan, Joan Lluis/0000-0002-1796-8216</t>
  </si>
  <si>
    <t>Spanish Government [CGL2005-24213-E]</t>
  </si>
  <si>
    <t>Spanish Government(Spanish Government)</t>
  </si>
  <si>
    <t>The aforementioned SANDICOM project has been developed in the framework of the research project REN2003-08376-C02-01 and the complementary action CGL2005-24213-E funded by the Spanish Government</t>
  </si>
  <si>
    <t>978-1-4244-0617-3</t>
  </si>
  <si>
    <t>Telecommunications</t>
  </si>
  <si>
    <t>BFU06</t>
  </si>
  <si>
    <t>WOS:000244601003051</t>
  </si>
  <si>
    <t>Bridge, PD; Clark, MS; Pearce, DA</t>
  </si>
  <si>
    <t>Bridge, P. D.; Clark, M. S.; Pearce, D. A.</t>
  </si>
  <si>
    <t>A new species of Paecilomyces isolated from the Antarctic springtail Cryptopygus antarcticus (vol 92, pg 214, 2005)</t>
  </si>
  <si>
    <t>MYCOTAXON</t>
  </si>
  <si>
    <t>Correction</t>
  </si>
  <si>
    <t>MYCOTAXON LTD</t>
  </si>
  <si>
    <t>ITHACA</t>
  </si>
  <si>
    <t>PO BOX 264, ITHACA, NY 14851-0264 USA</t>
  </si>
  <si>
    <t>0093-4666</t>
  </si>
  <si>
    <t>Mycotaxon</t>
  </si>
  <si>
    <t>Mycology</t>
  </si>
  <si>
    <t>054SU</t>
  </si>
  <si>
    <t>WOS:000238399700037</t>
  </si>
  <si>
    <t>Maurya, AS; Rai, AK</t>
  </si>
  <si>
    <t>Maurya, Abhayanand Singh; Rai, Ajai Kumar</t>
  </si>
  <si>
    <t>Paleoceanographic significance of Early Miocene deep sea benthic foraminifera at the Wombat Plateau, eastern Indian Ocean</t>
  </si>
  <si>
    <t>NATIONAL ACADEMY SCIENCE LETTERS-INDIA</t>
  </si>
  <si>
    <t>benthic foraminifera; early miocene; ODP; eastern Indian Ocean</t>
  </si>
  <si>
    <t>ANTARCTIC GLACIATION; ISOTOPE STRATIGRAPHY; MICROHABITATS; PRODUCTIVITY; EVOLUTION; PALEOGENE; HISTORY; TRENDS</t>
  </si>
  <si>
    <t>In the present work Late Oligocene-Early Miocene (similar to 25-16 Ma) deep sea benthic foraminifera (over&gt;149 mu m size fraction) were quantitatively analyzed from ODP site 761B (2170 m present day water depth) on the Wombat Plateau in the eastern Indian ocean. Samples are commonly examined at an interval of 0.75m having time resolution of 400 Ky. A Q-mode factor analysis of 18 highest ranked species defines three faunal assemblages reflecting different paleoceanographic conditions. The interval of Late Oligocene was marked by Cibicides kullenbergi-Bulimina glomarchallengeri assemblage (Factor 2) broadly suggesting relatively cold, oxygenated and active bottom water. Moderately high delta O-18 values and increased abundance of Globocassidulina subglobosa across the Oligocene/Miocene transition reflect relatively cold bottom water in this re-ion possibly due to enhanced AABW activity. The interval of Early Miocene (similar to 23-18 Ma) is defined by the C. kullenbergi assemblage (Factor 1) and moderately low values of delta O-18 and of delta C-13 which broadly suggest relatively warm bottom water with moderately high trophic levels. The latest Early Miocene (similar to 19-16 Ma) was dominated by Stilostomella lepidula assemblage (Factor 3) and increasing trend of delta O-18 and delta C-13 suggesting lowering in the bottom water temperature and trophic level.</t>
  </si>
  <si>
    <t>Univ Allahabad, Dept Earth &amp; Planetary Sci, Allahabad 211002, Uttar Pradesh, India</t>
  </si>
  <si>
    <t>University of Allahabad</t>
  </si>
  <si>
    <t>Maurya, AS (corresponding author), Univ Allahabad, Dept Earth &amp; Planetary Sci, Allahabad 211002, Uttar Pradesh, India.</t>
  </si>
  <si>
    <t>asmaurya2001@yahoo.co.in; akrai@sancharnet.in</t>
  </si>
  <si>
    <t>Maurya, Abhayanad Singh/0000-0001-7489-8026</t>
  </si>
  <si>
    <t>SPRINGER INDIA</t>
  </si>
  <si>
    <t>NEW DELHI</t>
  </si>
  <si>
    <t>7TH FLOOR, VIJAYA BUILDING, 17, BARAKHAMBA ROAD, NEW DELHI, 110 001, INDIA</t>
  </si>
  <si>
    <t>0250-541X</t>
  </si>
  <si>
    <t>2250-1754</t>
  </si>
  <si>
    <t>NATL ACAD SCI LETT</t>
  </si>
  <si>
    <t>Natl. Acad. Sci. Lett.-India</t>
  </si>
  <si>
    <t>5-6</t>
  </si>
  <si>
    <t>Multidisciplinary Sciences</t>
  </si>
  <si>
    <t>Science &amp; Technology - Other Topics</t>
  </si>
  <si>
    <t>066SN</t>
  </si>
  <si>
    <t>WOS:000239250500011</t>
  </si>
  <si>
    <t>Izutsu, N; Iijima, I; Kawasaki, T; Matsuzaka, Y; Namiki, M; Ohta, SO; Saito, Y; Toriumi, M; Yamagami, T; Ebihara, Y; Ejiri, M; Kadokura, A; Sato, N; Yamagishi, H; Katayose, Y; Tomida, Y; Fujii, M; Kasahara, K; Murakami, H; Konno, Y; Uchiyama, S</t>
  </si>
  <si>
    <t>Agrawal, PC</t>
  </si>
  <si>
    <t>Izutsu, N.; Iijima, I.; Kawasaki, T.; Matsuzaka, Y.; Namiki, M.; Ohta, S. O.; Saito, Y.; Toriumi, M.; Yamagami, T.; Ebihara, Y.; Ejiri, M.; Kadokura, A.; Sato, N.; Yamagishi, H.; Katayose, Y.; Tomida, Y.; Fujii, M.; Kasahara, K.; Murakami, H.; Konno, Y.; Uchiyama, S.</t>
  </si>
  <si>
    <t>Japanese polar patrol balloon experiments from 2002 to 2004</t>
  </si>
  <si>
    <t>NEXT GENERATION OF SCIENTIFIC BALLOON MISSIONS</t>
  </si>
  <si>
    <t>scientific ballooning; long duration balloon; polar patrol balloon</t>
  </si>
  <si>
    <t>Polar patrol balloon experiments were carried out at Syowa Station in Antarctica from 2002 to 2004. Two balloons were launched for the purpose of observing phenomena in the polar atmosphere and one was done for the observation of high energy cosmic electrons. We developed a new housekeeping system including communication device using the Iridium satellite network, an auto-level controller driven by a new program for keeping the flight altitude, and a power management system for solar cells combined with secondary batteries. Two balloons for studying phenomena in the Antarctic atmosphere launched on January 13, 2003 made flights for 18 days and 25 days, respectively. All the housekeeping system worked well during the flights as we expected. Based on these experiments, we adjusted parameters for the altitude control system and the power management system. We launched a balloon for the cosmic electron observation on January 4, 2004. It flew 13 days around the Antarctica with the perfect operation of the onboard housekeeping system. We hope that fruitful scientific results will be obtained from these long-duration flights. (c) 2006 COSPAR. Published by Elsevier Ltd. All rights reserved.</t>
  </si>
  <si>
    <t>Japan Aerosp Explorat Agcy, Inst Space &amp; Astronaut Sci, 3-1-1 Yoshinodai, Sagamihara, Kanagawa 2298510, Japan; Natl Inst Polar Res, 9-10-1 Kaga, Tokyo 1738515, Japan; Yokohama Natl Univ, 79-5 Tokiwadai, Yokohama, Kanagawa 2408501, Japan; Shibaura Inst Technol, 307 Fukasaku, Saitama, Saitama 3378570, Japan; Rikkyo Univ, 3-34-1 Nishiikebukuro, Tokyo 1718501, Japan; Clear Pulse Ltd, 6-25-17 Chuo, Tokyo 1430024, Japan</t>
  </si>
  <si>
    <t>Japan Aerospace Exploration Agency (JAXA); Institute of Space &amp; Astronautical Science (ISAS); Research Organization of Information &amp; Systems (ROIS); National Institute of Polar Research (NIPR) - Japan; Yokohama National University; Shibaura Institute of Technology; Rikkyo University</t>
  </si>
  <si>
    <t>Izutsu, N (corresponding author), Japan Aerosp Explorat Agcy, Inst Space &amp; Astronaut Sci, 3-1-1 Yoshinodai, Sagamihara, Kanagawa 2298510, Japan.</t>
  </si>
  <si>
    <t>izutsu.n@isas.jaxa.jp</t>
  </si>
  <si>
    <t>Saito, Yoshitaka/GRY-4997-2022; Ebihara, Yusuke/D-1638-2013; Ebihara, Yusuke/ABD-4430-2021</t>
  </si>
  <si>
    <t>Saito, Yoshitaka/0000-0003-0944-8963; Ebihara, Yusuke/0000-0002-2293-1557; Ebihara, Yusuke/0000-0002-2293-1557; KATAYOSE, Yusaku/0000-0003-4836-7621</t>
  </si>
  <si>
    <t>10.1016/j.asr.2005.02.103</t>
  </si>
  <si>
    <t>BEY18</t>
  </si>
  <si>
    <t>WOS:000240087500007</t>
  </si>
  <si>
    <t>Yagüe, C; Viana, S; Maqueda, G; Redondo, JM</t>
  </si>
  <si>
    <t>Yague, C.; Viana, S.; Maqueda, G.; Redondo, J. M.</t>
  </si>
  <si>
    <t>Influence of stability on the flux-profile relationships for wind speed, φm, and temperature, φh, for the stable atmospheric boundary layer</t>
  </si>
  <si>
    <t>NONLINEAR PROCESSES IN GEOPHYSICS</t>
  </si>
  <si>
    <t>EXTENDED SIMILARITY THEORY; BULK RICHARDSON-NUMBER; ANTARCTIC ICE SHELF; SURFACE-LAYER; TURBULENCE; INTERMITTENCY; HEAT; PARAMETERIZATION; CLIMATOLOGY; HYPOTHESES</t>
  </si>
  <si>
    <t>Data from SABLES98 experimental campaign have been used in order to study the influence of stability (from weak to strong stratification) on the flux-profile relationships for momentum, phi(m), and heat, phi(h). Measurements from 14 thermocouples and 3 sonic anemometers at three levels (5.8, 13.5 and 32 m) for the period from 10 to 28 September 1998 were analysed using the framework of the local-scaling approach (Nieuwstadt, 1984a; 1984b), which can be interpreted as an extension of the Monin-Obukhov similarity theory (Obukhov, 1946). The results show increasing values of phi(m) and phi(h) with increasing stability parameter zeta=z/Lambda, up to a value of zeta approximate to 1-2, above which the values remain constant. As a consequence of this levelling off in On and phi(h) for strong stability, the turbulent mixing is underestimated when linear similarity functions (Businger et al., 1971) are used to calculate surface fluxes of momentum and heat. On the other hand when phi(m) and phi(h) are related to the gradient Richardson number, R-i, a different behaviour is found, which could indicate that the transfer of momentum is greater than that of heat for high R-i. The range of validity of these linear functions is discussed in terms of the physical aspects of turbulent intermittent mixing.</t>
  </si>
  <si>
    <t>Univ Complutense Madrid, Dpto Geofis &amp; Meteorol, E-28040 Madrid, Spain; Univ Complutense Madrid, Dpto Astrofis &amp; Ciencias Atmosfera, E-28040 Madrid, Spain; Univ Politecn Cataluna, Dept Fis Aplicada, Barcelona, Spain</t>
  </si>
  <si>
    <t>Complutense University of Madrid; Complutense University of Madrid; Universitat Politecnica de Catalunya</t>
  </si>
  <si>
    <t>Yagüe, C (corresponding author), Univ Complutense Madrid, Dpto Geofis &amp; Meteorol, E-28040 Madrid, Spain.</t>
  </si>
  <si>
    <t>carlos@fis.ucm.es</t>
  </si>
  <si>
    <t>Viana, Samuel/AAR-5998-2020; Jiménez, Samuel Arístides Viana/H-6960-2015; Redondo Apraiz, Jose Manuel/D-1049-2009; Maqueda Burgos, Gregorio/H-9746-2015; Yague, Carlos/G-4498-2011</t>
  </si>
  <si>
    <t>Viana, Samuel/0000-0002-6186-0341; Jiménez, Samuel Arístides Viana/0000-0002-6186-0341; Redondo Apraiz, Jose Manuel/0000-0002-4006-301X; Maqueda Burgos, Gregorio/0000-0001-6479-7184; Yague, Carlos/0000-0002-6086-4877</t>
  </si>
  <si>
    <t>1023-5809</t>
  </si>
  <si>
    <t>NONLINEAR PROC GEOPH</t>
  </si>
  <si>
    <t>Nonlinear Process Geophys.</t>
  </si>
  <si>
    <t>10.5194/npg-13-185-2006</t>
  </si>
  <si>
    <t>Geosciences, Multidisciplinary; Mathematics, Interdisciplinary Applications; Meteorology &amp; Atmospheric Sciences; Physics, Fluids &amp; Plasmas</t>
  </si>
  <si>
    <t>Geology; Mathematics; Meteorology &amp; Atmospheric Sciences; Physics</t>
  </si>
  <si>
    <t>073GI</t>
  </si>
  <si>
    <t>gold, Green Published, Green Accepted, Green Submitted</t>
  </si>
  <si>
    <t>WOS:000239730600008</t>
  </si>
  <si>
    <t>Donner, R; Witt, A</t>
  </si>
  <si>
    <t>Donner, R.; Witt, A.</t>
  </si>
  <si>
    <t>Characterisation of long-term climate change by dimension estimates of multivariate palaeoclimatic proxy data</t>
  </si>
  <si>
    <t>SPATIOTEMPORAL CHAOS; TIME</t>
  </si>
  <si>
    <t>The problem of extracting climatically relevant information from multivariate geological records is tackled by characterising the eigenvalues of the temporarily varying correlation matrix. From these eigenvalues, a quantitative measure, the linear variance decay (LVD) dimension density, is derived. The LVD dimension density is shown to serve as a suitable estimate of the fractal dimension density. Its performance is evaluated by testing it for (i) systems with independent components and for (ii) subsystems of spatially extended linearly correlated systems. The LVD dimension density is applied to characterise two geological records which contain information about climate variability during the Oligocene and Miocene. These records consist of (a) abundances of different chemical trace elements and (b) grain-size distributions obtained from sediment cores offshore the East Antarctic coast. The presented analysis provides evidence that the major climate change associated with the Oligocene-Miocene transition is reflected in significant changes of the LVD dimension density. This is interpreted as a change of the interrelationships between different trace elements in the sediment and to a change of the provenance area of the deposited sediment.</t>
  </si>
  <si>
    <t>Univ Potsdam, Dept Phys, Nonlinear Dynam Grp, D-14469 Potsdam, Germany; Kings Coll London, Dept Geog, London WC2R 2LS, England</t>
  </si>
  <si>
    <t>University of Potsdam; University of London; King's College London</t>
  </si>
  <si>
    <t>Donner, R (corresponding author), Univ Potsdam, Dept Phys, Nonlinear Dynam Grp, Neuen Palais 10, D-14469 Potsdam, Germany.</t>
  </si>
  <si>
    <t>reik@agnld.uni-potsdam.de</t>
  </si>
  <si>
    <t>Donner, Reik V./F-4400-2017; Witt, Annette/HPC-6549-2023</t>
  </si>
  <si>
    <t>Donner, Reik V./0000-0001-7023-6375;</t>
  </si>
  <si>
    <t>1607-7946</t>
  </si>
  <si>
    <t>10.5194/npg-13-485-2006</t>
  </si>
  <si>
    <t>115QP</t>
  </si>
  <si>
    <t>WOS:000242749200002</t>
  </si>
  <si>
    <t>Ferrario, ME; Licea, S</t>
  </si>
  <si>
    <t>Ferrario, Martha E.; Licea, Sergio</t>
  </si>
  <si>
    <t>Species of the genus Pseudo-nitzschia (Bacillariophyta) in Antarctic waters:: morphology and distribution</t>
  </si>
  <si>
    <t>NOVA HEDWIGIA</t>
  </si>
  <si>
    <t>COMPLEX BACILLARIOPHYCEAE; SP-NOV; SEA</t>
  </si>
  <si>
    <t>We focus on the morphology, composition and abundance of Pseudo-nitzschia species along six transects of hydrographic stations across the Drake Passage. The transects crossed along the Polar Front (PF), which during ARGAU-0 was detected around 58 degrees 6' and 58 degrees 9' S and during ARGAU-1, at 56 degrees 9'S and 58 degrees 5'S. Water and net phytoplankton samples were collected from Antarctic surface waters during two cruises, from March to May 2000 and from January to April 2001. Samples were taken aboard the icebreaker A.R.A 'Almirante Irizar' in the framework of the ARGAU project (ARGentina for the study of the AUstral Atlantic Ocean) developed between Argentina and France. Quantitative and qualitative samples were taken by pumping water using a continuous sampling system. Estimations of the cells were counted under the inverted microscope and qualitative samples were studied by light and electron microscopy. Five species of the genus Pseudo-nitzschia were found and are described: P. heimii, P. lineola, P. subcurvata, P. turgidula and P. turgiduloides. Most species had their highest cell densities during ARGAU-1 in summer associated with the PF, P. heimii achieving the greatest abundance at any single site, although it was of lower abundance in the remainder of the area. Pseudo-nitzschia turgidula, P. lineola and P. turgiduloides were widely distributed, occurring at the PF and also north and south of it during autumn and summer. Pseudo-nitzschia heimii and P. subcurvata exhibited a more restricted distribution, occurring at and to the north of the PF in the late summer and autumn.</t>
  </si>
  <si>
    <t>Fac Ciencias Nat &amp; Museo, Dept Cient Ficol, RA-1900 La Plata, Argentina; Inst Ciencias Mar &amp; Limnol, Mexico City 04510, DF, Mexico</t>
  </si>
  <si>
    <t>National University of La Plata; Museo La Plata; Universidad Nacional Autonoma de Mexico</t>
  </si>
  <si>
    <t>Ferrario, ME (corresponding author), Fac Ciencias Nat &amp; Museo, Dept Cient Ficol, Paseo Bosque S-N, RA-1900 La Plata, Argentina.</t>
  </si>
  <si>
    <t>meferra@museo.fcnym.unlp.edu.ar</t>
  </si>
  <si>
    <t>0029-5035</t>
  </si>
  <si>
    <t>Nova Hedwigia</t>
  </si>
  <si>
    <t>063KE</t>
  </si>
  <si>
    <t>WOS:000239016300002</t>
  </si>
  <si>
    <t>Jordan, RW; Ligowski, R</t>
  </si>
  <si>
    <t>Jordan, Richard W.; Ligowski, Ryszard</t>
  </si>
  <si>
    <t>Observations on the auxospores, initial cells and vegetative cells of Proboscia truncata (Bacillariophyta)</t>
  </si>
  <si>
    <t>DIATOMS; ANTARCTICA; SEA</t>
  </si>
  <si>
    <t>A sample collected recently from Terra Nova Bay (Ross Sea, Antarctica) and containing Proboscia truncata auxospores in various stages of initial cell development was investigated by light and scanning electron microscopy. The initial valve and a number of copulae develop inside the terminal auxospore, before the first viable initial cell is created through division. Initial cells are generally two or three times broader than the mother (gametangial) cells. In addition, this sample, together with others collected during Polish Antarctic Expeditions, have allowed us to make the first detailed observations of the valve features of the spring form. These new observations confirm that the claspers are ventrally placed, a longitudinal slit is on the dorsal side, and a ring of very small rounded spinulae is present at the proboscis tip. This study provides further evidence that P. truncata belongs in the genus Proboscia and demonstrates its affinity with other species in the genus.</t>
  </si>
  <si>
    <t>Amagata Univ, Fac Sci, Dept Earth &amp; Environm Sci, Yamagata 9908560, Japan; Polish Acad Sci, Dept Antarctic Biol, PL-01141 Warsaw, Poland; Univ Lodz, Lab Polar Biol &amp; Oceanobiol, PL-90237 Lodz, Poland</t>
  </si>
  <si>
    <t>Yamagata University; Polish Academy of Sciences; University of Lodz</t>
  </si>
  <si>
    <t>Jordan, RW (corresponding author), Amagata Univ, Fac Sci, Dept Earth &amp; Environm Sci, Yamagata 9908560, Japan.</t>
  </si>
  <si>
    <t>sh081@kdw.kj.yamagata-u.ac.jp</t>
  </si>
  <si>
    <t>WOS:000239016300015</t>
  </si>
  <si>
    <t>Ackermann, M; Ahrens, J; Bai, X; Bartelt, M; Barwick, SW; Bay, R; Becka, T; Becker, JK; Becker, KH; Bernardini, E; Bertrand, D; Boersma, DJ; Böser, S; Botner, O; Bouchta, A; Bouhali, O; Braun, J; Buress, C; Burgess, T; Castermans, T; Chinowsky, W; Chirkin, D; Conrad, J; Cooley, J; Cowen, DF; Davour, A; De Clercq, C; DeYoung, T; Desiati, P; Ekström, P; Feser, T; Gaug, M; Gaisser, TK; Ganugapati, R; Geenen, H; Gerhardt, L; Goldschmidt, A; Gross, A; Hallgren, A; Halzen, F; Hanson, K; Hardtke, R; Harenberg, T; Hauschildt, T; Helbing, K; Hellwig, M; Herquet, P; Hill, GC; Hubert, D; Hughey, B; Hulth, PO; Hultqvist, K; Hundertmark, S; Jacobsen, J; Kampert, KH; Karle, A; Kelley, JL; Kestel, M; Kohnen, G; Köpke, L; Kowalski, M; Krasberg, M; Kuehn, K; Leich, H; Leuthold, M; Liubarsky, I; Ludvig, J; Lundberg, J; Madsen, J; Marciniewski, P; Matis, HS; McParland, CP; Messarius, T; Minaeva, Y; Miocinovic, P; Morse, R; Münich, KS; Nahnhauer, R; Nam, J; Neunhöffer, T; Niessen, P; Nygren, DR; Ögelman, H; Olbrechts, P; de los Heros, CP; Pohl, AC; Porrata, R; Price, PB; Przybylski, GT; Rawlins, K; Resconi, E; Rhode, W; Ribordy, M; Richter, S; Robbins, S; Martino, JR; Sander, HG; Schlenstedt, S; Schneider, D; Schwarz, R; Silvestri, A; Solarz, M; Sopher, J; Spiczak, GM; Spiering, C; Stamatikos, M; Steele, D; Steffen, P; Stokstad, RG; Sulanke, KH; Taboada, I; Thollander, L; Tilav, S; Wagner, W; Walck, C; Walter, M; Wang, YR; Wendt, C; Wiebusch, CH; Wischnewski, R; Wissing, H; Woschnagg, K; Yodh, G</t>
  </si>
  <si>
    <t>AMANDA Collaboration</t>
  </si>
  <si>
    <t>The ICECUBE prototype string in AMANDA</t>
  </si>
  <si>
    <t>NUCLEAR INSTRUMENTS &amp; METHODS IN PHYSICS RESEARCH SECTION A-ACCELERATORS SPECTROMETERS DETECTORS AND ASSOCIATED EQUIPMENT</t>
  </si>
  <si>
    <t>neutrino telescope; AMANDA; ICECUBE; signal digitization</t>
  </si>
  <si>
    <t>MUON; DETECTOR; DEEP</t>
  </si>
  <si>
    <t>The Antarctic Muon And Neutrino Detector Array (AMANDA) is a high-energy neutrino telescope. It is a lattice of optical modules (OM) installed in the clear ice below the South Pole Station. Each OM contains a photomultiplier tube (PMT) that detects photons of Cherenkov light generated in the ice by muons and electrons. ICECUBE is a cubic-kilometer-sized expansion of AMANDA currently being built at the South Pole. In ICECUBE the PMT signals are digitized already in the optical modules and transmitted to the surface. A prototype string of 41 OMs equipped with this new all-digital technology was deployed in the AMANDA array in the year 2000. In this paper we describe the technology and demonstrate that this string serves as a proof of concept for the ICECUBE array. Our investigations show that the OM timing accuracy is 5 ns. Atmospheric muons are detected in excellent agreement with expectations with respect to both angular distribution and absolute rate. (c) 2005 Elsevier B.V. All rights reserved.</t>
  </si>
  <si>
    <t>Univ Calif Berkeley, Lawrence Berkeley Lab, Berkeley, CA 94720 USA; DESY Zeuthen, D-15738 Zeuthen, Germany; Johannes Gutenberg Univ Mainz, Inst Phys, D-55099 Mainz, Germany; Univ Delaware, Bartol Res Inst, Newark, DE 19716 USA; Univ Dortmund, Inst Phys, D-44221 Dortmund, Germany; Univ Calif Irvine, Dept Phys &amp; Astron, Irvine, CA 92697 USA; Univ Calif Berkeley, Dept Phys, Berkeley, CA 94720 USA; BU Wuppertal, Fachbereich Phys C, D-42119 Wuppertal, Germany; Univ Libre Bruxelles, Fac Sci, Brussels, Belgium; Uppsala Univ, Div High Energy Phys, S-75121 Uppsala, Sweden; Univ Wisconsin, Dept Phys, Madison, WI 53706 USA; Stockholm Univ, Dept Phys, SE-10691 Stockholm, Sweden; Univ Mons, B-7000 Mons, Belgium; Penn State Univ, Dept Phys, University Pk, PA 16802 USA; Free Univ Brussels, Dienst ELEM, B-1050 Brussels, Belgium; Univ Maryland, Dept Phys, College Pk, MD 20742 USA; Univ London Imperial Coll Sci Technol &amp; Med, Blackett Lab, London SW7 2BW, England; Univ Wisconsin, Dept Phys, River Falls, WI 54022 USA; Univ Kalmar, Dept Chem &amp; Biomed Sci, S-39182 Kalmar, Sweden; Univ Simon Bolivar, Dept Fis, Caracas 1080, Venezuela</t>
  </si>
  <si>
    <t>University of California System; University of California Berkeley; United States Department of Energy (DOE); Lawrence Berkeley National Laboratory; Helmholtz Association; Deutsches Elektronen-Synchrotron (DESY); Johannes Gutenberg University of Mainz; University of Delaware; Dortmund University of Technology; University of California System; University of California Irvine; University of California System; University of California Berkeley; Universite Libre de Bruxelles; Uppsala University; University of Wisconsin System; University of Wisconsin Madison; Stockholm University; University of Mons; Pennsylvania Commonwealth System of Higher Education (PCSHE); Pennsylvania State University; Pennsylvania State University - University Park; Universite Libre de Bruxelles; University System of Maryland; University of Maryland College Park; Imperial College London; University of Wisconsin System; University of Kalmar; Linnaeus University; Simon Bolivar University</t>
  </si>
  <si>
    <t>Univ Calif Berkeley, Lawrence Berkeley Lab, Berkeley, CA 94720 USA.</t>
  </si>
  <si>
    <t>klaus.helbing@physik.uni-erlangen.de</t>
  </si>
  <si>
    <t>Bouhali, Othmane/JXM-3572-2024; Wiebusch, Christopher H.V./G-6490-2012; Bernardini, Elisa/AAA-4810-2020; Botner, Olga/A-9110-2013; Resconi, Elisa/I-3874-2016; Gaug, Markus/L-2340-2014; Tjus, Julia/G-8145-2012; Matis, Howard/AAO-2082-2021; Hubert, Daan/I-1096-2019; DeYoung, Tyce/O-6895-2019; Hallgren, Allan/A-8963-2013; Matis, Howard S/HMV-9747-2023; Hundertmark, Stephan/A-6592-2010; Kowalski, Marek/G-5546-2012; Diaz Velez, Juan Carlos/T-2788-2018</t>
  </si>
  <si>
    <t>Bouhali, Othmane/0000-0001-7139-7322; Wiebusch, Christopher H.V./0000-0002-6418-3008; Bernardini, Elisa/0000-0003-3108-1141; Resconi, Elisa/0000-0003-0705-2770; Gaug, Markus/0000-0001-8442-7877; Tjus, Julia/0000-0002-1748-7367; Hubert, Daan/0000-0002-4365-865X; DeYoung, Tyce/0000-0003-4873-3783; Matis, Howard S/0000-0003-0764-4389; Kampert, Karl-Heinz/0000-0002-2805-0195; Helbing, Klaus/0000-0003-2072-4172; Ackermann, Markus/0000-0001-8952-588X; Kowalski, Marek/0000-0001-8594-8666; Desiati, Paolo/0000-0001-9768-1858; Diaz Velez, Juan Carlos/0000-0002-0087-0693; Bartelt, Matthias/0000-0003-4239-3490; Hill, Gary/0000-0001-8881-6802; De Clercq, Catherine/0000-0001-5266-7059; Cooley, Jodi/0000-0001-6761-2042; Burgess, Thomas/0000-0002-6993-5918; Perez de los Heros, Carlos/0000-0002-2084-5866; Rhode, Wolfgang/0000-0003-2636-5000</t>
  </si>
  <si>
    <t>0168-9002</t>
  </si>
  <si>
    <t>1872-9576</t>
  </si>
  <si>
    <t>NUCL INSTRUM METH A</t>
  </si>
  <si>
    <t>Nucl. Instrum. Methods Phys. Res. Sect. A-Accel. Spectrom. Dect. Assoc. Equip.</t>
  </si>
  <si>
    <t>10.1016/j.nima.2005.10.029</t>
  </si>
  <si>
    <t>Instruments &amp; Instrumentation; Nuclear Science &amp; Technology; Physics, Nuclear; Physics, Particles &amp; Fields</t>
  </si>
  <si>
    <t>Instruments &amp; Instrumentation; Nuclear Science &amp; Technology; Physics</t>
  </si>
  <si>
    <t>003PY</t>
  </si>
  <si>
    <t>WOS:000234695300021</t>
  </si>
  <si>
    <t>Bryan, FO; Danabasoglu, G; Gent, PR; Lindsay, K</t>
  </si>
  <si>
    <t>Bryan, Frank O.; Danabasoglu, Gokhan; Gent, Peter R.; Lindsay, Keith</t>
  </si>
  <si>
    <t>Changes in ocean ventilation during the 21st century in the CCSM3</t>
  </si>
  <si>
    <t>OCEAN MODELLING</t>
  </si>
  <si>
    <t>ocean ventilation; water mass age</t>
  </si>
  <si>
    <t>SEA-LEVEL RISE; THERMOHALINE CIRCULATION; MODEL; WATER; CLIMATE</t>
  </si>
  <si>
    <t>Changes in the ventilation rate of the global ocean during the 20th and 21st centuries, as indicated by changes in the distribution of ideal age, are examined in a series of integrations of the Community Climate System Model version 3. The global mean age changes little in the 20th Century relative to pre-industrial conditions, but increases in the 21st Century, by an amount that is independent of the range of climate forcings considered. The increase is primarily due to a decrease in the ventilation rate of Antarctic Bottom Water (AABW), and to a lesser degree, North Atlantic Deep Water (NADW). Changes in a regional volumetric census of age indicate that the changes in AABW are predominantly for waters that are already older than 100 years, so will likely have a moderate direct feedback on oceanic uptake Of CO2 and other tracers. On the other hand, the changes in NADW occur most strongly in waters that are a few decades old, so are more likely to have a feedback on the climate system. While the global mean age increases, the age does not increase everywhere in the ocean. Regions newly exposed to strong atmospheric forcing as sea ice retreats experience an increase in convection and decreasing age. Age also decreases over a large volume of the lower thermocline as the rate of upwelling of old deep water decreases with the weakening of the thermolialine circulation. (c) 2006 Elsevier Ltd. All rights reserved.</t>
  </si>
  <si>
    <t>Natl Ctr Atmospher Res, Boulder, CO 80307 USA</t>
  </si>
  <si>
    <t>National Center Atmospheric Research (NCAR) - USA</t>
  </si>
  <si>
    <t>Bryan, FO (corresponding author), Natl Ctr Atmospher Res, POB 3000, Boulder, CO 80307 USA.</t>
  </si>
  <si>
    <t>bryan@ucar.edu</t>
  </si>
  <si>
    <t>Gent, Peter/HGB-9457-2022; Bryan, Frank/I-1309-2016</t>
  </si>
  <si>
    <t>Danabasoglu, Gokhan/0000-0003-4676-2732; Lindsay, Keith/0000-0002-3672-1665; Bryan, Frank/0000-0003-1672-8330</t>
  </si>
  <si>
    <t>1463-5003</t>
  </si>
  <si>
    <t>OCEAN MODEL</t>
  </si>
  <si>
    <t>Ocean Model.</t>
  </si>
  <si>
    <t>10.1016/j.ocemod.2006.01.002</t>
  </si>
  <si>
    <t>Meteorology &amp; Atmospheric Sciences; Oceanography</t>
  </si>
  <si>
    <t>115NK</t>
  </si>
  <si>
    <t>WOS:000242740800002</t>
  </si>
  <si>
    <t>Sun, S; Bleck, R</t>
  </si>
  <si>
    <t>Sun, Shan; Bleck, Rainer</t>
  </si>
  <si>
    <t>Geographic distribution of the diapycnal component of thermohaline circulations in coupled climate models</t>
  </si>
  <si>
    <t>ANTARCTIC CIRCUMPOLAR CURRENT; GLOBAL OCEAN CIRCULATION; ATMOSPHERIC CO2; TRANSPORT; SIMULATIONS; TEMPERATURE</t>
  </si>
  <si>
    <t>Data archives from four global coupled ocean-atmosphere models are used to construct maps of diapycnal mass flux through selected isopycnal surfaces in the model oceans. The maps illustrate location and strength of the up and downwelling limbs of thermohaline-forced overturning loops whose stability in the face of rising atmospheric carbon dioxide (CO2) concentrations is of major concern in century-scale climate prediction. The up and downwelling limbs simulated by the four models for present-day greenhouse gas concentrations are compared with observational estimates. Predicted changes in the overturning brought about by gradually rising atmospheric CO2 content are compared model-to-model. While all four models predict some decline in the rate of Atlantic overturning during CO2-induced global warming, the geographic layout of the overturning circulations in each model is found to be insensitive to the changing climate. (c) 2006 Elsevier Ltd. All rights reserved.</t>
  </si>
  <si>
    <t>NASA, Goddard Inst Space Studies, New York, NY 10025 USA; Los Alamos Natl Lab, Los Alamos, NM 87545 USA</t>
  </si>
  <si>
    <t>National Aeronautics &amp; Space Administration (NASA); NASA Goddard Space Flight Center; Goddard Institute for Space Studies; United States Department of Energy (DOE); Los Alamos National Laboratory</t>
  </si>
  <si>
    <t>Sun, S (corresponding author), NASA, Goddard Inst Space Studies, 2880 Broadway, New York, NY 10025 USA.</t>
  </si>
  <si>
    <t>ssun@giss.nasa.gov; rbleck@giss.nasa.gov</t>
  </si>
  <si>
    <t>Sun, Shan/H-2318-2015; Bleck, Rainer/AAQ-2905-2021</t>
  </si>
  <si>
    <t>Bleck, Rainer/0000-0001-7387-4620</t>
  </si>
  <si>
    <t>1463-5011</t>
  </si>
  <si>
    <t>10.1016/j.ocemod.2006.05.002</t>
  </si>
  <si>
    <t>WOS:000242740800004</t>
  </si>
  <si>
    <t>Kim, JG; Hunke, EC; Lipscomb, WH</t>
  </si>
  <si>
    <t>Kim, Jong G.; Hunke, Elizabeth C.; Lipscomb, William H.</t>
  </si>
  <si>
    <t>Sensitivity analysis and parameter tuning scheme for global sea-ice modeling</t>
  </si>
  <si>
    <t>sea-ice model; automatic differentiation; parameter sensitivity; ice thickness; thermodynamics; dynamics; Arctic; Antarctic; Weddell Sea</t>
  </si>
  <si>
    <t>AIR-QUALITY MODELS; WINTER SNOW COVER; THICKNESS DISTRIBUTION; UPPER OCEAN; PACK ICE; CLIMATE; VARIABILITY; SIMULATIONS; DYNAMICS; DIFFERENTIATION</t>
  </si>
  <si>
    <t>Automatic differentiation (AD) is used to perform a multiple parameter sensitivity analysis for the Los Alamos sea-ice model CICE. Numerical experiments are run by six-hourly, 1987 forcing data with a two-hour time step, and the AD-based sensitivity scheme is validated by comparison with derivatives calculated using the conventional finite-difference approach. Twenty-two thermodynamic and dynamic parameters are selected for simultaneous analysis. Of these, the simulated average sea-ice thickness is most sensitive to ice density; albedos and emissivity predominate in summer, while ice thickness is highly sensitive to the snow density in winter. Ice conductivity, the ice-ocean drag parameter, maximum ice salinity and ridging parameters significantly affect the simulation year-round. Gradient information computed by the AD-based sea-ice code is then used in an experiment designed to assess the efficacy of this technique for tuning the parameters against observational data. Preliminary results, obtained with a bound-constrained minimization method and with simulated observational data, show that satisfactory convergence is obtained. (c) 2006 Elsevier Ltd. All rights reserved.</t>
  </si>
  <si>
    <t>Argonne Natl Lab, MCS Div, Argonne, IL 60439 USA; Los Alamos Natl Lab, Div Theoret, Los Alamos, NM USA</t>
  </si>
  <si>
    <t>United States Department of Energy (DOE); Argonne National Laboratory; United States Department of Energy (DOE); Los Alamos National Laboratory</t>
  </si>
  <si>
    <t>Kim, JG (corresponding author), Argonne Natl Lab, MCS Div, 9700 S Cass Ave, Argonne, IL 60439 USA.</t>
  </si>
  <si>
    <t>jgkim@mcs.anl.gov; eclare@lanl.gov; lipscomb@lanl.gov</t>
  </si>
  <si>
    <t>Lipscomb, William/AAR-8668-2021</t>
  </si>
  <si>
    <t>10.1016/j.ocemod.2006.03.003</t>
  </si>
  <si>
    <t>067UV</t>
  </si>
  <si>
    <t>WOS:000239329000004</t>
  </si>
  <si>
    <t>Roberts, JL; Hell, P; Murray, RJ; Holloway, DS; Bindoff, NL</t>
  </si>
  <si>
    <t>Pole relocation for an orthogonal grid: An analytic method</t>
  </si>
  <si>
    <t>grid generation; ocean modelling</t>
  </si>
  <si>
    <t>OCEAN; MODEL; TRANSFORMATION; CIRCULATION</t>
  </si>
  <si>
    <t>Oceanic general circulation models, especially for climate applications, lack computational efficiency and accuracy when solved on horizontal grids that contain a singularity, i.e. a grid pole, within the ocean mask of the computational domain. Here we present a fully analytical approach of generating a curvilinear, globally orthogonal grid, where the grid poles are located outside the ocean's computational domain, and the grid parallels in the vicinity of the geographic Equator are parallel to the latter. The grid is dipolar, asymmetric and composite with a smooth transition. In this grid all ocean basins are connected and straits are open in the same manner as on the geographical grid. The grid generation is based on grid parallels which are circles and the analytical determination of grid meridians which are orthogonal to them. Grid-cell anisotropy and grid resolution are determined from analytical functions, and may be varied to suit scientific goals. (c) 2005 Elsevier Ltd. All rights reserved.</t>
  </si>
  <si>
    <t>Univ Tasmania, Tasmanian Partnership Adv Comp, Hobart, Tas 7001, Australia; Australian Antarctic Div, Kingston, Tas 7050, Australia; Antarctic Climate &amp; Ecosyst Cooperat Res Ctr, Hobart, Tas 7001, Australia; Univ Tasmania, Sch Math &amp; Phys, Hobart, Tas 7001, Australia; Univ Tasmania, Inst Antarctic &amp; So Ocean Studies, Hobart, Tas 7001, Australia; CSIRO Marine Res, Hobart, Tas 7001, Australia</t>
  </si>
  <si>
    <t>University of Tasmania; Australian Antarctic Division; Antarctic Climate &amp; Ecosystems Cooperative Research Centre (ACE CRC); University of Tasmania; University of Tasmania; Commonwealth Scientific &amp; Industrial Research Organisation (CSIRO)</t>
  </si>
  <si>
    <t>Univ Tasmania, Tasmanian Partnership Adv Comp, Private Bag 37, Hobart, Tas 7001, Australia.</t>
  </si>
  <si>
    <t>j.l.roberts@utas.edu.au</t>
  </si>
  <si>
    <t>Bindoff, Nathaniel Lee/IVV-0333-2023; Bindoff, Nathaniel Lee/C-8050-2011; Roberts, Jason L/B-2235-2012; Holloway, Damien/J-7865-2014</t>
  </si>
  <si>
    <t>Bindoff, Nathaniel Lee/0000-0001-5662-9519; Bindoff, Nathaniel Lee/0000-0001-5662-9519; Roberts, Jason L/0000-0002-3477-4069; Holloway, Damien/0000-0001-9537-2744; Heil, Petra/0000-0003-2078-0342</t>
  </si>
  <si>
    <t>10.1016/j.ocemod.2005.03.004</t>
  </si>
  <si>
    <t>004WH</t>
  </si>
  <si>
    <t>WOS:000234782800002</t>
  </si>
  <si>
    <t>Stössel, A; Kim, JT</t>
  </si>
  <si>
    <t>Enhancing the resolution of sea ice in a global ocean GCM</t>
  </si>
  <si>
    <t>WEDDELL SEA; MEAN CIRCULATION; COASTAL POLYNYAS; CONVECTION; MODEL; SENSITIVITY; VARIABILITY; SYSTEM; IMPACT</t>
  </si>
  <si>
    <t>Open water in sea ice, such as leads and polynyas, has a considerable impact on the long-term global deep-ocean properties and circulation. Its representation in ocean general circulation models (GCMs) that. are designed for studies of the long-term thermohaline circulation, however, bears large uncertainties. Here, an attempt has been made to reduce such uncertainties by enhancing the resolution of the sea-ice component, while keeping the ocean component at coarse resolution to preserve the necessary efficiency of the GCM. In this study, the higher-resolved sea-ice component has been restricted to the Southern Ocean. Compared to the original model, the new version yields more detailed structures, such as a more detailed representation of coastal polynyas, a realistically sharp ice edge, and an overall enhanced lead fraction. The latter gives rise to a somewhat enhanced rate of Antarctic Bottom Water formation through enhanced near-boundary convection, which is reflected in slightly cooler and fresher global deep-ocean properties and a reduced Antarctic Circumpolar Current as a result of reduced open-ocean convection. Sensitivity studies reveal that it is not the overall enhanced lead fraction but rather the coastal katabatic winds that lead to this behaviour of the higher-resolution model. Artifacts resulting from the coarse-grid coastline were minimized in a separate model version where fine surface grid cells of fast ice were introduced following the fine-grid land/ice-shelf-sea-ice/ocean boundary of satellite-derived microwave data. This study represents an intermediate step toward resolving the sea-ice component of a global coarse-resolution ocean GCM on a scale of about 30 km. (c) 2004 Elsevier Ltd. All rights reserved.</t>
  </si>
  <si>
    <t>Texas A&amp;M Univ, Dept Oceanog, College Stn, TX 77843 USA</t>
  </si>
  <si>
    <t>Texas A&amp;M University System; Texas A&amp;M University College Station</t>
  </si>
  <si>
    <t>Texas A&amp;M Univ, Dept Oceanog, 3146 TAMU, College Stn, TX 77843 USA.</t>
  </si>
  <si>
    <t>astoessei@ocean.tamu.edu</t>
  </si>
  <si>
    <t>10.1016/j.ocemod.2004.11.004</t>
  </si>
  <si>
    <t>977EZ</t>
  </si>
  <si>
    <t>WOS:000232786700002</t>
  </si>
  <si>
    <t>Röske, F</t>
  </si>
  <si>
    <t>A global heat and freshwater forcing dataset for ocean models</t>
  </si>
  <si>
    <t>AIR-SEA FLUXES; ANTARCTIC KATABATIC WINDS; NORTH-ATLANTIC; SURFACE HEAT; ECMWF REANALYSIS; NCEP-NCAR; CIRCULATION; ICE; CLIMATOLOGY; VARIABILITY</t>
  </si>
  <si>
    <t>A global dataset based on the ECMWF Re-Analyses (ERA) is presented that can be used as surface boundary conditions for ocean models with sea-ice components. The definition of these conditions is based on bulk formulae. To study the mean ocean circulation, a mean annual cycle on a daily basis was constructed from ERA for all relevant parameters including wind stress. Continental runoff is considered by using information about the catchment areas of the rivers and about the main drainage basins. The bulk formulae were extended by using sea ice concentration. To estimate meridional heat transports (MHT) and to avoid any drift in ocean model simulations, the heat and fresh water budgets have been closed by applying an inverse procedure to fine-tune the fluxes towards observed transports. To improve the MHTs on the Southern Hemisphere the winds and the short wave radiation at southern higher latitudes should be corrected. Furthermore, tests were performed concerning short wave radiation which was increased in the tropics and decreased in the subsidence zones. The heat and fresh water fluxes are assessed by using a scheme of Macdonald and Wunsch based on hydrographic sections. The net heat fluxes of ERA and of the forcing dataset are consistent with the heat flux divergences and convergences estimated by this scheme except for parts of the South Atlantic and the Indian Ocean sector of the Southern Ocean where none of these datasets is consistent with these estimates. In the subtropical South Indian Ocean the forcing dataset is consistent with these estimates while ERA are not. The flux components of ERA and the forcing dataset were compared to several observational datasets (SRB, SOC, HOAPS, GPCP, and CMAP). For each component, at least one of these datasets (especially HOAPS) supports the effects of the inverse procedure and the bulk formulae almost globally with some regional exceptions: short wave radiation in the tropical oceans and the subtropical North Atlantic, latent heat flux at higher latitudes, and precipitation in the northern North Atlantic.</t>
  </si>
  <si>
    <t>Max Planck Inst Meteorol, D-20146 Hamburg, Germany</t>
  </si>
  <si>
    <t>Max Planck Inst Meteorol, Bundesstr 55, D-20146 Hamburg, Germany.</t>
  </si>
  <si>
    <t>roeske@dkrz.de</t>
  </si>
  <si>
    <t>10.1016/j.ocemod.2004.12.005</t>
  </si>
  <si>
    <t>987EM</t>
  </si>
  <si>
    <t>WOS:000233501200001</t>
  </si>
  <si>
    <t>Connolley, WM; Keen, AB; McLaren, AJ</t>
  </si>
  <si>
    <t>Connolley, W. M.; Keen, A. B.; McLaren, A. J.</t>
  </si>
  <si>
    <t>Results from the implementation of the Elastic Viscous Plastic sea ice rheology in HadCM3</t>
  </si>
  <si>
    <t>OCEAN SCIENCE</t>
  </si>
  <si>
    <t>We present results of an implementation of the Elastic Viscous Plastic (EVP) sea ice dynamics scheme into the Hadley Centre coupled ocean-atmosphere climate model HadCM3. Although the large-scale simulation of sea ice in HadCM3 is quite good with this model, the lack of a full dynamical model leads to errors in the detailed representation of sea ice and limits our confidence in its future predictions. We find that introducing the EVP scheme results in a worse initial simulation of the sea ice. This paper documents various enhancements made to improve the simulation, resulting in a sea ice simulation that is better than the original HadCM3 scheme overall. Importantly, it is more physically based and provides a more solid foundation for future development. We then consider the interannual variability of the sea ice in the new model and demonstrate improvements over the HadCM3 simulation.</t>
  </si>
  <si>
    <t>[Connolley, W. M.] British Antarctic Survey, Cambridge CB3 0ET, England; [Keen, A. B.; McLaren, A. J.] Met Off Hadley Ctr, Exeter EX1 3PB, Devon, England</t>
  </si>
  <si>
    <t>UK Research &amp; Innovation (UKRI); Natural Environment Research Council (NERC); NERC British Antarctic Survey; Met Office - UK; Hadley Centre</t>
  </si>
  <si>
    <t>Connolley, WM (corresponding author), British Antarctic Survey, Madingley Rd, Cambridge CB3 0ET, England.</t>
  </si>
  <si>
    <t>wmc@bas.ac.uk</t>
  </si>
  <si>
    <t>McLaren, Alison/GRE-9659-2022</t>
  </si>
  <si>
    <t>McLaren, Alison/0009-0005-2195-1758</t>
  </si>
  <si>
    <t>1812-0784</t>
  </si>
  <si>
    <t>OCEAN SCI</t>
  </si>
  <si>
    <t>Ocean Sci.</t>
  </si>
  <si>
    <t>10.5194/os-2-201-2006</t>
  </si>
  <si>
    <t>V28FR</t>
  </si>
  <si>
    <t>Green Submitted, Green Accepted, gold</t>
  </si>
  <si>
    <t>WOS:000208667200010</t>
  </si>
  <si>
    <t>Collins, MA; Villanueva, R</t>
  </si>
  <si>
    <t>Gibson, RN; Atkinson, RJA; Gordon, JDM</t>
  </si>
  <si>
    <t>Collins, Martin A.; Villanueva, Roger</t>
  </si>
  <si>
    <t>Taxonomy, ecology and behaviour of the cirrate octopods</t>
  </si>
  <si>
    <t>OCEANOGRAPHY AND MARINE BIOLOGY - AN ANNUAL REVIEW, VOL 44</t>
  </si>
  <si>
    <t>Oceanography and Marine Biology</t>
  </si>
  <si>
    <t>TOOTHFISH DISSOSTICHUS-ELEGINOIDES; GONATUS-ONYX CEPHALOPODA; DEEP-SEA CEPHALOPODS; STAUROTEUTHIS-SYRTENSIS; HABITAT DEPTH; LIGHT ORGANS; LIFE-HISTORY; O-VOSSI; MOLLUSCA; ATLANTIC</t>
  </si>
  <si>
    <t>The cirrate octopods are deep-sea, cold-adapted cephalopod molluscs that are found throughout the world's oceans, usually at depths in excess of 300 m, but shallower in cold water at high latitudes. The gelatinous bodies of the cirrates, which deform when preserved, coupled with low capture rates have caused considerable confusion in the systematics of the group. The taxonomically relevant morphological features are briefly reviewed and the taxonomy revised. On the basis of morphological and molecular information the cirrates are divided into four families, the Cirroteuthidae (including the genera Cirroteuthis, Cirrothauma and Stauroteuthis), Cirroctopodidae (Cirroctopus), Grimpoteuthidae (Cryptoteuthis, Grimpoteuthis and Luteuthis) and Opisthoteuthidae (Opisthoteuthis). A total of 45 species are recognised. The opisthoteuthids are primarily benthic animals, the grimpoteuthids and cirroctopodids benthopelagic and the cirroteuthids essentially pelagic, but generally close to the sea floor. With the exception of two common, shallow, Opisthoteuthis species, the biology of the cirrates is poorly studied. The data on reproductive biology indicate that spawning is extended, with growth continuing during a reproductive period that probably occupies much of the life cycle, an unusual strategy in cephalopods. Diet studies suggest that benthic cirrates feed on small-sized organisms with low swimming speeds and the main prey are amphipods and polychaetes. Cirrate predators include sharks, teleost fishes, fur seals and sperm whales. Behavioural observations, based on underwater photographs, submersible observations and aquarium studies, show a range of postures, modes of locomotion and responses to disturbance that differ between the families. Behavioural observations also help interpret the unusual morphology and physiology of the cirrates, such as the use of cirri, fins, secondary web and bioluminescent emissions.</t>
  </si>
  <si>
    <t>British Antarctic Survey, NERC, Cambridge CB3 0ET, England; CSIC, Inst Ciencias Mar, E-08003 Barcelona, Spain</t>
  </si>
  <si>
    <t>UK Research &amp; Innovation (UKRI); Natural Environment Research Council (NERC); NERC British Antarctic Survey; Consejo Superior de Investigaciones Cientificas (CSIC); CSIC - Centro Mediterraneo de Investigaciones Marinas y Ambientales (CMIMA); CSIC - Instituto de Ciencias del Mar (ICM)</t>
  </si>
  <si>
    <t>Collins, MA (corresponding author), British Antarctic Survey, NERC, High Cross, Cambridge CB3 0ET, England.</t>
  </si>
  <si>
    <t>macol@bas.ac.uk; roger@icm.csic.es</t>
  </si>
  <si>
    <t>, Martin/ABE-6728-2020; Collins, Martin A/J-8560-2017; Villanueva, Roger/D-6911-2011</t>
  </si>
  <si>
    <t>, Martin/0000-0001-7132-8650; Villanueva, Roger/0000-0001-8122-3449</t>
  </si>
  <si>
    <t>CRC PRESS-TAYLOR &amp; FRANCIS GROUP</t>
  </si>
  <si>
    <t>BOCA RATON</t>
  </si>
  <si>
    <t>6000 BROKEN SOUND PARKWAY NW, STE 300, BOCA RATON, FL 33487-2742 USA</t>
  </si>
  <si>
    <t>0078-3218</t>
  </si>
  <si>
    <t>978-0-8493-7044-1</t>
  </si>
  <si>
    <t>OCEANOGR MAR BIOL</t>
  </si>
  <si>
    <t>Oceanogr. Mar. Biol.</t>
  </si>
  <si>
    <t>10.1201/9781420006391</t>
  </si>
  <si>
    <t>Marine &amp; Freshwater Biology; Oceanography</t>
  </si>
  <si>
    <t>BFP67</t>
  </si>
  <si>
    <t>WOS:000243635700006</t>
  </si>
  <si>
    <t>Learmonth, JA; MacLeod, CD; Santos, MB; Pierce, GJ; Crick, HQP; Robinson, RA</t>
  </si>
  <si>
    <t>Learmonth, J. A.; MacLeod, C. D.; Santos, M. B.; Pierce, G. J.; Crick, H. Q. P.; Robinson, R. A.</t>
  </si>
  <si>
    <t>Potential effects of climate change on marine mammals</t>
  </si>
  <si>
    <t>LONG-TERM CHANGES; PORPOISES PHOCOENA-PHOCOENA; ANTARCTIC FUR SEALS; NORTH-SEA; HARBOR PORPOISES; ATLANTIC; ZOOPLANKTON; ABUNDANCE; DOLPHINS; WHALES</t>
  </si>
  <si>
    <t>Predicted impacts of climate change on the marine environment include an increase in temperature, a rise in sea levels and a decrease in sea-ice cover. These impacts will occur at local, regional and larger scales. The potential impacts of climate change on marine mammals can be direct, such as the effects of reduced sea ice and rising sea levels on seal haul-out sites, or species tracking a specific range of water temperatures in which they can physically survive. Indirect effects of climate change include changes in prey availability affecting distribution, abundance and migration patterns, community structure, susceptibility to disease and contaminants. Ultimately, these will impact on the reproductive success and survival of marine mammals and, hence, have consequences for populations. Marine mammal species, which have restricted geographical distributions with little or no opportunity for range expansion in response to climate change, may be particularly vulnerable to the effects of climate change. The potential effects of climate change on marine mammals have a number of implications for their conservation and highlight several areas requiring further research.</t>
  </si>
  <si>
    <t>Univ Aberdeen, Sch Biol Sci, Aberdeen AB24 2TZ, Scotland; Ctr Costero Vigo, Inst Espanol Oceanog, Vigo 36200, Spain</t>
  </si>
  <si>
    <t>University of Aberdeen; Spanish Institute of Oceanography</t>
  </si>
  <si>
    <t>Learmonth, JA (corresponding author), Univ Aberdeen, Sch Biol Sci, Tillydrone Ave, Aberdeen AB24 2TZ, Scotland.</t>
  </si>
  <si>
    <t>j.a.learmonth@abdn.ac.uk</t>
  </si>
  <si>
    <t>Robinson, Robert/B-8237-2009; Pierce, Graham/A-5404-2018</t>
  </si>
  <si>
    <t>Robinson, Robert/0000-0003-0504-9906; Crick, Humphrey/0000-0002-5136-378X; Pierce, Graham/0000-0002-4744-4501</t>
  </si>
  <si>
    <t>WOS:000243635700008</t>
  </si>
  <si>
    <t>Bogorodskii, PV; Pnyushkov, AV</t>
  </si>
  <si>
    <t>Bogorodskii, P. V.; Pnyushkov, A. V.</t>
  </si>
  <si>
    <t>On the heat and mass transfer at the initial stage of ice formation in the sea</t>
  </si>
  <si>
    <t>OCEANOLOGY</t>
  </si>
  <si>
    <t>SOLIDIFICATION; ALLOY</t>
  </si>
  <si>
    <t>A mathematical description of the processes of diffusion heat and mass transfer in a freezing semi-infinite layer of seawater is presented. The mathematical formulation of a version of Stefan's problem accounts for the possibility of the formation of a zone of phase transitions beyond which no phase transitions take place and the phase composition is known. Within the frameworks of a one-dimensional case and under a series of simplifying assumptions, self-similar solutions of the problem were obtained and plotted, such as the temperature and salinity distributions in the ice and the sub-ice layer, the phase composition of the sea ice, the heat flux across its upper boundary, and the position of the phase transition front. A qualitative comparison of these results with the experimental data available is presented.</t>
  </si>
  <si>
    <t>Arctic &amp; Antarctic Res Inst, St Petersburg, Russia</t>
  </si>
  <si>
    <t>Bogorodskii, PV (corresponding author), Arctic &amp; Antarctic Res Inst, St Petersburg, Russia.</t>
  </si>
  <si>
    <t>Pnyushkov, Andrey/M-3156-2019; Pnyushkov, Andrey/J-4153-2014; Bogorodskii, Petr/J-4213-2014</t>
  </si>
  <si>
    <t>Pnyushkov, Andrey/0000-0001-9112-6458; Pnyushkov, Andrey/0000-0001-9112-6458;</t>
  </si>
  <si>
    <t>0001-4370</t>
  </si>
  <si>
    <t>1531-8508</t>
  </si>
  <si>
    <t>OCEANOLOGY+</t>
  </si>
  <si>
    <t>Oceanology</t>
  </si>
  <si>
    <t>10.1134/S0001437006010036</t>
  </si>
  <si>
    <t>156ME</t>
  </si>
  <si>
    <t>WOS:000245651900003</t>
  </si>
  <si>
    <t>Schreider, AA; Schreider, AA; Bulychev, AA; Galindo-Zaldivar, J; Maldonado, A; Kashintsev, GL</t>
  </si>
  <si>
    <t>Schreider, A. A.; Schreider, Al. A.; Bulychev, A. A.; Galindo-Zaldivar, J.; Maldonado, A.; Kashintsev, G. L.</t>
  </si>
  <si>
    <t>Geochronology of the American-Antarctic ridge</t>
  </si>
  <si>
    <t>BOUVET TRIPLE JUNCTION; EAST-SCOTIA RIDGE; SOUTH-ATLANTIC; TECTONIC EVOLUTION; MANTLE FLOW; SPREADING CENTER; PACIFIC OCEAN; SEA; ARC; REGION</t>
  </si>
  <si>
    <t>A new map of chrons for the American-Antarctic Ridge area has been compiled. Its analysis and the calculations performed showed that the seafloor spreading with respect to its axis started before 85 My B. P. The spreading directions were 115 degrees ( chrons C34-C29), 145 degrees ( chrons C29-C21), 110 degrees ( chrons C21-C5C), and 85 degrees ( chrons C5C-C1). The maximum rates of about 4 cm/year were reached earlier than 52 My B. P.; subsequently, a progressive general decrease in the spreading rate has been observed. According to our forecast, the spreading may cease in the following 3.5 My.</t>
  </si>
  <si>
    <t>Russian Acad Sci, Shirshov Inst Oceanol, Moscow, Russia; Moscow MV Lomonosov State Univ, Dept Geol, Moscow, Russia; Univ Granada, E-18071 Granada, Spain; Inst Mediterranean Geol, Granada, Spain</t>
  </si>
  <si>
    <t>Russian Academy of Sciences; Shirshov Institute of Oceanology; Lomonosov Moscow State University; University of Granada</t>
  </si>
  <si>
    <t>Schreider, AA (corresponding author), Russian Acad Sci, Shirshov Inst Oceanol, Moscow, Russia.</t>
  </si>
  <si>
    <t>Sazhneva, Alexandra/HPG-9897-2023; Galindo-Zaldivar, Jesus/K-3640-2012</t>
  </si>
  <si>
    <t>Galindo-Zaldivar, Jesus/0000-0002-3493-2637</t>
  </si>
  <si>
    <t>10.1134/S0001437006010139</t>
  </si>
  <si>
    <t>WOS:000245651900013</t>
  </si>
  <si>
    <t>Asper, V; Gallager, S; von der Heydt, K; Lemer, S; Girard, A; Peal, K; Miller, E; McDonald, G; Sisson, J; Griner, C</t>
  </si>
  <si>
    <t>Asper, Vernon; Gallager, Scott; von der Heydt, Keith; Lemer, Steven; Girard, Andrew; Peal, Kenneth; Miller, Emily; McDonald, Glenn; Sisson, Jay; Griner, Chris</t>
  </si>
  <si>
    <t>Design and construction of a polar remote interactive marine observatory (PRIMO)</t>
  </si>
  <si>
    <t>OCEANS 2006, VOLS 1-4</t>
  </si>
  <si>
    <t>OCEANS-IEEE</t>
  </si>
  <si>
    <t>Oceans 2006 Conference</t>
  </si>
  <si>
    <t>Boston, MA</t>
  </si>
  <si>
    <t>A seafloor marine observatory is under development for deployment in Antarctic coastal waters to study and monitor the physical, biological, and biogeochemical processes as a function of global climate change. This observatory will consist of an instrument package on the seafloor 3.5km from shore in 130m of water connected the U.S. base Palmer Station by electro-optical cable, providing the capability for internet-based teleoperation by educators, students, and scientists from anywhere in the world.</t>
  </si>
  <si>
    <t>[Asper, Vernon] Univ So Mississippi, Hattiesburg, MS 39406 USA; [Gallager, Scott; von der Heydt, Keith; Lemer, Steven; Girard, Andrew; Peal, Kenneth; Miller, Emily; McDonald, Glenn; Sisson, Jay; Griner, Chris] Woods Hole Oceanog Inst, Woods Hole, MA 02543 USA</t>
  </si>
  <si>
    <t>University of Southern Mississippi; Woods Hole Oceanographic Institution</t>
  </si>
  <si>
    <t>Asper, V (corresponding author), Univ So Mississippi, Hattiesburg, MS 39406 USA.</t>
  </si>
  <si>
    <t>National Science Foundation [OPP-042 1431]; NOAA [NA16RU1496]</t>
  </si>
  <si>
    <t>National Science Foundation(National Science Foundation (NSF)); NOAA(National Oceanic Atmospheric Admin (NOAA) - USA)</t>
  </si>
  <si>
    <t>This work is supported by the National Science Foundation grant number OPP-042 1431 and NOAA contract number NA16RU1496.</t>
  </si>
  <si>
    <t>0197-7385</t>
  </si>
  <si>
    <t>978-1-4244-0114-7</t>
  </si>
  <si>
    <t>Engineering, Ocean</t>
  </si>
  <si>
    <t>BGC33</t>
  </si>
  <si>
    <t>WOS:000246002100143</t>
  </si>
  <si>
    <t>Freitag, HP; McPhaden, MJ; Cronin, MF; Sabine, CL; McClurg, DC; McLain, PD</t>
  </si>
  <si>
    <t>Freitag, H. Paul; McPhaden, Michael J.; Cronin, Meghan F.; Sabine, Christopher L.; McClurg, Dai C.; McLain, Patrick D.</t>
  </si>
  <si>
    <t>PMEL contributions to the OceanSITES program</t>
  </si>
  <si>
    <t>The OCEAN Sustained Interdisciplinary Timeseries Environment observation System (OceanSITES) is built around a worldwide network of long-term, deepwater reference stations measuring many oceanographic and meteorological variables of relevance to climate and biogeochemical cycles. OceanSITES is a contribution to the Global Ocean Observing System and international research programs. PMEL is a major contributor to OceanSITES in the context of the Tropical Ocean Atmosphere/Triangle Trans-Ocean Buoy Network (TAO/TRITON) mooring array in the tropical Pacific, the Pilot Research Moored Array in the Tropical Atlantic (PIRATA), preliminary moorings of a planned array in the Indian Ocean, the new Kuroshio Extension Observatory (KEO) in the Kuroshio Extension's recirculation gyre, and proposed high latitude moorings in the sub-Arctic Pacific at Ocean Weather Station PAPA and in the sub-Antarctic Zone south of Australia. The KEO mooring and a small subsample of moorings within the larger tropical arrays have been enhanced to measure heat, fresh water, and momentum fluxes. Sample time series of bulk variables and computed fluxes are presented and are compared to NCEP and ECMWF reanalysis products. Many OceanSITES locations have been selected to address multi-disciplinary problems in biogeochemical cycles as well. At present a total of eight OceanSITES moorings carry a stand-alone system to monitor air-sea carbon flux, including five TAO sites and the KEO site. An expansion of the carbon systems to other OceanSITES locations including the proposed PMEL high-latitude sites and additional TAO flux sites is planned.</t>
  </si>
  <si>
    <t>[Freitag, H. Paul; McPhaden, Michael J.; Cronin, Meghan F.; Sabine, Christopher L.; McLain, Patrick D.] NOAA, Pacific Marine Environm Lab, 7600 Sand Point Way Ne, Seattle, WA 98115 USA; [McClurg, Dai C.] Univ Washington, JISAO, Seattle, WA 98195 USA</t>
  </si>
  <si>
    <t>National Oceanic Atmospheric Admin (NOAA) - USA; University of Washington; University of Washington Seattle</t>
  </si>
  <si>
    <t>Freitag, HP (corresponding author), NOAA, Pacific Marine Environm Lab, 7600 Sand Point Way Ne, Seattle, WA 98115 USA.</t>
  </si>
  <si>
    <t>McPhaden, Michael J/D-9799-2016; Cronin, Meghan F./M-3155-2018</t>
  </si>
  <si>
    <t>Cronin, Meghan F./0000-0002-4703-8132</t>
  </si>
  <si>
    <t>WOS:000246002100351</t>
  </si>
  <si>
    <t>Stoddart, DM</t>
  </si>
  <si>
    <t>Brewer, WJ; Castle, D; Pantelis, C</t>
  </si>
  <si>
    <t>Stoddart, D. Michael</t>
  </si>
  <si>
    <t>The role of pheromones and chemistry: lessons from comparative anatomy</t>
  </si>
  <si>
    <t>OLFACTION AND THE BRAIN</t>
  </si>
  <si>
    <t>OLFACTORY SYSTEMS; VOMERONASAL; RECOGNITION; PERCEPTION; MOUSE; MICE</t>
  </si>
  <si>
    <t>Australian Antarctic Div, Kingston, Tas 7050, Australia</t>
  </si>
  <si>
    <t>Stoddart, DM (corresponding author), Australian Antarctic Div, Channel Highway, Kingston, Tas 7050, Australia.</t>
  </si>
  <si>
    <t>Pantelis, Christos/H-7722-2014</t>
  </si>
  <si>
    <t>Pantelis, Christos/0000-0002-9565-0238</t>
  </si>
  <si>
    <t>THE PITT BUILDING, TRUMPINGTON ST, CAMBRIDGE CB2 1RP, CAMBS, ENGLAND</t>
  </si>
  <si>
    <t>978-0-521-84922-7</t>
  </si>
  <si>
    <t>10.1017/CBO9780511543623.013</t>
  </si>
  <si>
    <t>10.1017/CBO9780511543623</t>
  </si>
  <si>
    <t>Psychology, Biological; Neurosciences; Psychology</t>
  </si>
  <si>
    <t>Psychology; Neurosciences &amp; Neurology</t>
  </si>
  <si>
    <t>BXL58</t>
  </si>
  <si>
    <t>WOS:000296293500013</t>
  </si>
  <si>
    <t>Gu, BZ; Wang, GM; Jiang, X; Zuo, H</t>
  </si>
  <si>
    <t>AtadEttedgul, E; Antebi, J; Lemke, D</t>
  </si>
  <si>
    <t>Gu, Bozhong; Wang, Guomin; Jiang, Xiang; Zuo, Heng</t>
  </si>
  <si>
    <t>Tracking system of 2m LAMOST-style telescope for the Antarctic Plateau</t>
  </si>
  <si>
    <t>OPTOMECHANICAL TECHNOLOGIES FOR ASTRONOMY, PTS 1 AND 2</t>
  </si>
  <si>
    <t>Conference on Optomechanical Technologies for Astronony</t>
  </si>
  <si>
    <t>telescope; antarctic; Dome-A; structure design</t>
  </si>
  <si>
    <t>The South Pole, especially the highest plateau Dome A, is the best place to locate telescopes in the world due to its compelling environment, such as dry air, low humidity, low wind speeds, low values of sky noise, etc. For this site, especially significant is its very clean air with the lowest concentration of atmospheric aerosols and its negligible artificial light pollution. But the air temperature in Dome-A is extremely low. The lowest air temperature is about 89 degrees below zero. On the other hand, Dome A is covered with deep snow. In order to build and operate a telescope at such low temperature successfully, some of the problems caused by low temperature should be considered and tested through experiments. According to the Chinese Antarctic 2m LAMOST-style telescope project, a conceptual design of tracking system for a 2 meter optical and infrared telescope fitting to operate at Dome-A, including axes structure, materials, drive systems, lubricant and feasible ways to install telescope will be discussed in this paper.</t>
  </si>
  <si>
    <t>[Gu, Bozhong; Wang, Guomin; Jiang, Xiang; Zuo, Heng] Chinese Acad Sci, Nanjing Inst Astron Opt &amp; Technol, Natl Astron Observ, Nanjing 210042, Peoples R China</t>
  </si>
  <si>
    <t>Chinese Academy of Sciences; National Astronomical Observatory, CAS; Nanjing Institute of Astronomical Optics &amp; Technology, NAOC, CAS</t>
  </si>
  <si>
    <t>Gu, BZ (corresponding author), Chinese Acad Sci, Nanjing Inst Astron Opt &amp; Technol, Natl Astron Observ, Nanjing 210042, Peoples R China.</t>
  </si>
  <si>
    <t>bzhgu@niaot.ac.cn</t>
  </si>
  <si>
    <t>staff of Antarctic telescope project</t>
  </si>
  <si>
    <t>The authors would like to express their appreciation to the staff of Antarctic telescope project for their support and help.</t>
  </si>
  <si>
    <t>0-8194-6338-8</t>
  </si>
  <si>
    <t>10.1117/12.670813</t>
  </si>
  <si>
    <t>Engineering, Aerospace; Instruments &amp; Instrumentation; Optics</t>
  </si>
  <si>
    <t>Engineering; Instruments &amp; Instrumentation; Optics</t>
  </si>
  <si>
    <t>BEX62</t>
  </si>
  <si>
    <t>WOS:000240017700095</t>
  </si>
  <si>
    <t>Hammerschlag, RH; Bettonvil, FCM; Jaegers, APL</t>
  </si>
  <si>
    <t>Hammerschlag, Robert H.; Bettonvil, Felix C. M.; Jaegers, Aswin P. L.</t>
  </si>
  <si>
    <t>Towers for telescopes with extreme stability, active or passive?</t>
  </si>
  <si>
    <t>telescope towers; mechanical stability; high-resolution telescopes; local seeing; framework geometries; Antarctic telescopes; solar telescopes; gossamer structures</t>
  </si>
  <si>
    <t>High-resolution telescopes require a mechanical stability of fractions of an arc second. Placing such a telescope on top of a tower will improve the local seeing. An open transparent tower of framework minimizes the upward, temperature disturbed air flow. The tower platform has to be extremely stable against rotational motions, which have to be less than fractions of an arc second, unusual in mechanical engineering. Active systems can improve the stability. However, they need sensors for position measurements, active actuators and a control loop. The performance is limited by the available signal-to-noise ratio. Consequently, improvement of the passive stability of large tower structures will significantly contribute to the final stability. Special geometries in steel framework can reach extreme passive stability of a tower platform, particularly against rotational motions. There are several groups of basic geometries, which lead to solutions and we will give a systematic description. The proposed towers can be welded or screwed together from smaller parts. This makes a construction in adverse environments like the Antarctic region within good reach.</t>
  </si>
  <si>
    <t>[Hammerschlag, Robert H.; Bettonvil, Felix C. M.] Univ Utrecht, Inst Astron, Princetonplein 5, NL-3584 CC Utrecht, Netherlands; [Bettonvil, Felix C. M.] ASTRON, POB 2, NL-7990 AA Dwingeloo, Netherlands; [Jaegers, Aswin P. L.] Univ Utrecht, Inst Grp Fysica, NL-3584 CA Utrecht, Netherlands</t>
  </si>
  <si>
    <t>Utrecht University; Utrecht University</t>
  </si>
  <si>
    <t>Hammerschlag, RH (corresponding author), Univ Utrecht, Inst Astron, Princetonplein 5, NL-3584 CC Utrecht, Netherlands.</t>
  </si>
  <si>
    <t>R.H.Hammerschlag@astro.uu.nl</t>
  </si>
  <si>
    <t>62731O</t>
  </si>
  <si>
    <t>10.1117/12.670850</t>
  </si>
  <si>
    <t>WOS:000240017700052</t>
  </si>
  <si>
    <t>Hospitaleche, CA; Degrange, FJ; Tambussi, CP; Corrado, N; Rustán, JJ</t>
  </si>
  <si>
    <t>Evaluation of humerus characters in fossil and living penguins to use them with systematic purposes.</t>
  </si>
  <si>
    <t>ORNITOLOGIA NEOTROPICAL</t>
  </si>
  <si>
    <t>morphometry; systematics; humerus; living and fossil penguins; Spheniscidae</t>
  </si>
  <si>
    <t>Evaluation of humerus characters in fossil and living penguins to use them with systematic purposes. - The meaning humerus characters in the differentiation of living and fossil penguins of South America and Antarctica was evaluated. Statistical tests, principal components analysis (PCA) and diagrams of logarithmic differences (DID), were applied to eight decimal variables and four angular values of 192 humerus of 15 species. Patagonian fossil species and the living ones are easily discriminated in all the analyses. Angular values allow to discriminate between the fossil subfamilies, genera and species of the living ones, and between the living species. The PCA of eight indices did not result adequate for systematic separation. On the contrary, the comparative study of such indices in the DLD allowed to discriminate taxa in all three hicrarchies. Analyses allow to discriminate three groups based on morphometric variations without any phylogenetic meaning: living penguins (Spheniscinae), Patagonian fossil penguins (Palaeosphenisdnae and Paraptenodytinae), and Antarctic fossil penguins (Palaeeudyptinae and Anthropornithinae. In conclusion: 1) humerus shows applicable characters in the systematic of the group, 2) morphometric characters can be used as useful tools in the taxonomic treatment of both fossil and recent species, but 3) weighting of the variables altogether is necessary.</t>
  </si>
  <si>
    <t>Museo La Plata, Div Paleontol Vertebrados, RA-1900 La Plata, Argentina; Consejo Nacl Invest Cient &amp; Tecn, RA-1033 Buenos Aires, DF, Argentina</t>
  </si>
  <si>
    <t>National University of La Plata; Museo La Plata; Consejo Nacional de Investigaciones Cientificas y Tecnicas (CONICET)</t>
  </si>
  <si>
    <t>Museo La Plata, Div Paleontol Vertebrados, Paseo Bosque S-N, RA-1900 La Plata, Argentina.</t>
  </si>
  <si>
    <t>acostacaro@museo.fcnym.unlp.edu.ar</t>
  </si>
  <si>
    <t>Acosta Hospitaleche, Carolina/E-5740-2017</t>
  </si>
  <si>
    <t>Acosta Hospitaleche, Carolina/0000-0002-2614-1448</t>
  </si>
  <si>
    <t>NEOTROPICAL ORNITHOLOGICAL SOC, USGS PATUXENT WILDLIFE RESEARCH CTR</t>
  </si>
  <si>
    <t>ATHENS</t>
  </si>
  <si>
    <t>UNIV GEORGIA, WARNELL SCH FOREST RESOURCES, ATHENS, GA 30602-2152 USA</t>
  </si>
  <si>
    <t>1075-4377</t>
  </si>
  <si>
    <t>ORNITOL NEOTROP</t>
  </si>
  <si>
    <t>ORNITOL. NEOTROP.</t>
  </si>
  <si>
    <t>019IF</t>
  </si>
  <si>
    <t>WOS:000235828100008</t>
  </si>
  <si>
    <t>Foley, KK; Lyons, WB; Barrett, JE; Virginia, RA</t>
  </si>
  <si>
    <t>AlonsoZarza, AM; Tanner, LH</t>
  </si>
  <si>
    <t>Foley, Kelly K.; Lyons, W. Berry; Barrett, John E.; Virginia, Ross A.</t>
  </si>
  <si>
    <t>Pedogenic carbonate distribution within glacial till in Taylor Valley, Southern Victoria Land, Antarctica</t>
  </si>
  <si>
    <t>PALEOENVIRONMENTAL RECORD AND APPLICATIONS OF CALCRETES AND PALUSTRINE CARBONATES</t>
  </si>
  <si>
    <t>arid landscapes; calcite; pedogenic carbonates; McMurdo Dry Valleys; Taylor Valley; Victoria Land; Antarctica</t>
  </si>
  <si>
    <t>MCMURDO DRY VALLEYS; STRONTIUM ISOTOPES; SOIL CARBONATE; LATE WISCONSIN; ICE-SHEET; ROSS SEA; DESERT; PRECIPITATION; STREAMS; ORIGIN</t>
  </si>
  <si>
    <t>Pedogenic carbonate in the form of calcite (CaCO3) accumulates within the soils of hot and cold arid continental landscapes, but much less is known about the spatial pattern and amount of carbonates in polar soils. We measured the CaCO3 distribution in the McMurdo Dry Valleys of Antarctica, the largest ice-free expanse on the continent. Higher CaCO3 concentrations occur in the moist coastal soils, the younger till (younger than 50,000 yr), and in lower elevation tills within Taylor Valley in the McMurdo Dry Valleys area. The average CaCO3 in the moist coastal soils of the McMurdo Dry Valleys is 1.06%, 0.39% in intermediate-elevation soils, and only 0.02% in inland highest-elevation soils. In general, the youngest coastal tills contain the highest amounts of CaCO3 (2.0%), and the oldest tills from Taylor IV glaciation contain the least (0.54%). There is a noticeable difference in CaCO3 concentration near the elevation of the highest stand of ancient Glacial Lake Washburn (similar to 340 m), with higher concentrations found in soils previously covered by the lake. This suggests that a portion of the CaCO3 in soils below this elevation could be lacustrine derived. The Fryxell, Hoare, and Bonney basin soils in Taylor Valley have mean inorganic C concentrations that are much lower than the average world inorganic soil C concentration of 33.2 kg C m(-2). The relatively low carbonate concentrations in Antarctic polar desert soils can be attributed to the shallow active layer, low rates of weathering, and the extreme aridity of the landscape.</t>
  </si>
  <si>
    <t>[Foley, Kelly K.; Lyons, W. Berry] Ohio State Univ, Byrd Polar Res Ctr, Columbus, OH 43210 USA; [Foley, Kelly K.; Lyons, W. Berry] Ohio State Univ, Dept Geol Sci, Columbus, OH 43210 USA; [Barrett, John E.; Virginia, Ross A.] Dartmouth Coll, Environm Studies Program, Hanover, NH 03755 USA</t>
  </si>
  <si>
    <t>University System of Ohio; Ohio State University; University System of Ohio; Ohio State University; Dartmouth College</t>
  </si>
  <si>
    <t>Foley, KK (corresponding author), Ohio State Univ, Byrd Polar Res Ctr, Columbus, OH 43210 USA.</t>
  </si>
  <si>
    <t>Barrett, John E/D-5851-2016</t>
  </si>
  <si>
    <t>Directorate For Geosciences; Office of Polar Programs (OPP) [1041742] Funding Source: National Science Foundation; Office of Polar Programs (OPP); Directorate For Geosciences [0832755] Funding Source: National Science Foundation</t>
  </si>
  <si>
    <t>Directorate For Geosciences; Office of Polar Programs (OPP)(National Science Foundation (NSF)NSF - Directorate for Geosciences (GEO)); Office of Polar Programs (OPP); Directorate For Geosciences(National Science Foundation (NSF)NSF - Directorate for Geosciences (GEO))</t>
  </si>
  <si>
    <t>978-0-8137-2416-4</t>
  </si>
  <si>
    <t>10.1130/2006.2416(06)</t>
  </si>
  <si>
    <t>Geology; Geosciences, Multidisciplinary; Paleontology</t>
  </si>
  <si>
    <t>Geology; Paleontology</t>
  </si>
  <si>
    <t>BMH36</t>
  </si>
  <si>
    <t>WOS:000272343100007</t>
  </si>
  <si>
    <t>Gorham, PW</t>
  </si>
  <si>
    <t>Barnes, PD; Cooper, MD; Eisenstein, RA; VanHecke, H; Stephenson, GJ</t>
  </si>
  <si>
    <t>Gorham, Peter W.</t>
  </si>
  <si>
    <t>ANITA collaboration</t>
  </si>
  <si>
    <t>First results from the ANITA cosmogenic neutrino experiment</t>
  </si>
  <si>
    <t>PARTICLES AND NUCLEI</t>
  </si>
  <si>
    <t>17th International Conference on Particles and Nuclei</t>
  </si>
  <si>
    <t>OCT 23-30, 2005</t>
  </si>
  <si>
    <t>Santa Fe, NM</t>
  </si>
  <si>
    <t>neutrinos</t>
  </si>
  <si>
    <t>SHOWERS; EMISSION; PULSES; CHARGE; AIR</t>
  </si>
  <si>
    <t>We report on new limits on cosmic neutrino fluxes from the flight of the Antarctic Impulsive Transient Antenna (ANITA) prototype, dubbed ANITA-lite, which completed an 18.4 day flight of a long-duration balloon (LDB) payload in early 2004.</t>
  </si>
  <si>
    <t>Univ Hawaii Manoa, Dept Phys &amp; Astron, Honolulu, HI 96822 USA</t>
  </si>
  <si>
    <t>University of Hawaii System; University of Hawaii Manoa</t>
  </si>
  <si>
    <t>Gorham, PW (corresponding author), Univ Hawaii Manoa, Dept Phys &amp; Astron, Honolulu, HI 96822 USA.</t>
  </si>
  <si>
    <t>0-7354-0338-4</t>
  </si>
  <si>
    <t>Physics, Multidisciplinary; Physics, Nuclear; Physics, Particles &amp; Fields</t>
  </si>
  <si>
    <t>Physics</t>
  </si>
  <si>
    <t>BFD49</t>
  </si>
  <si>
    <t>WOS:000241182200257</t>
  </si>
  <si>
    <t>Shirochkov, AV; Makarova, LN; Maystrova, VV; Nagurny, AP</t>
  </si>
  <si>
    <t>Shirochkov, A. V.; Makarova, L. N.; Maystrova, V. V.; Nagurny, A. P.</t>
  </si>
  <si>
    <t>Long-term trends in temperature of the Arctic atmosphere and their relation to variations of solar activity</t>
  </si>
  <si>
    <t>PHYSICS AND CHEMISTRY OF THE EARTH</t>
  </si>
  <si>
    <t>3rd International Workshop on Long Term Changes and Trends in the Atmosphere</t>
  </si>
  <si>
    <t>JUN 09-14, 2004</t>
  </si>
  <si>
    <t>Sozopol, BULGARIA</t>
  </si>
  <si>
    <t>temperature; stratosphere; troposphere; solar activity</t>
  </si>
  <si>
    <t>DYNAMICS; WIND; SUN</t>
  </si>
  <si>
    <t>The solar activity expressed in its various forms (the total solar irradiance (TSI) and a permanent injection of the solar charged particles called as the solar wind) is considered in this study as a possible candidate capable to influence on the long-term variations of the atmospheric temperature. The data of atmospheric balloon sounding at four polar and subpolar stations were chosen for the study of long-term variations of atmospheric temperature as functions of the solar activity. The experimentally observed long-term trends in variations of the tropospheric and stratospheric temperatures could be related to some extent to the variability of the solar activity. The impact of the solar wind energy on thermal regime of the stratosphere and troposphere in the Arctic could be different due to non-uniformity of electric conductivity of the ground surface as well as to different relations between conductivity of the atmospheric layers and ground surface. (C) 2006 Elsevier Ltd. All rights reserved.</t>
  </si>
  <si>
    <t>Arctic &amp; Antarctic Res Inst, St Petersburg 199397, Russia</t>
  </si>
  <si>
    <t>Shirochkov, AV (corresponding author), Arctic &amp; Antarctic Res Inst, 38 Bering St, St Petersburg 199397, Russia.</t>
  </si>
  <si>
    <t>shirmak@aari.nw.ru</t>
  </si>
  <si>
    <t>1474-7065</t>
  </si>
  <si>
    <t>1873-5193</t>
  </si>
  <si>
    <t>PHYS CHEM EARTH</t>
  </si>
  <si>
    <t>Phys. Chem. Earth</t>
  </si>
  <si>
    <t>10.1016/j.pce.2005.04.005</t>
  </si>
  <si>
    <t>Geosciences, Multidisciplinary; Meteorology &amp; Atmospheric Sciences; Water Resources</t>
  </si>
  <si>
    <t>Geology; Meteorology &amp; Atmospheric Sciences; Water Resources</t>
  </si>
  <si>
    <t>050GM</t>
  </si>
  <si>
    <t>WOS:000238075500016</t>
  </si>
  <si>
    <t>Convey, P; Smith, RIL</t>
  </si>
  <si>
    <t>Convey, P.; Smith, R. I. L.</t>
  </si>
  <si>
    <t>Responses of terrestrial Antarctic ecosystems to climate change</t>
  </si>
  <si>
    <t>PLANT ECOLOGY</t>
  </si>
  <si>
    <t>alien species; Antarctic; bryophyte; climate change; colonisation; microbiota; phanerogam; terrestrial ecosystem; UV radiation</t>
  </si>
  <si>
    <t>UV-B RADIATION; UNCINATA HEDW. LOESKE; ULTRAVIOLET-RADIATION; OZONE DEPLETION; VASCULAR PLANTS; COLOBANTHUS-QUITENSIS; ECOLOGICAL RESPONSES; SOUTH-GEORGIA; DNA-DAMAGE; PHOTOSYNTHESIS</t>
  </si>
  <si>
    <t>Antarctic terrestrial biota are generally limited by the inexorably linked environmental factors of low summer temperature and lack of available water. However, in parts of the Antarctic, both these factors are changing rapidly on contemporary timescales. Terrestrial biota have concurrently been faced with changes in the timing of UV-B maxima associated with spring ozone depletion. The region of the Antarctic Peninsula and Scotia Arc has experienced one of the most rapid rates of environmental warming seen worldwide over the last 30-50 years. Together with local changes in precipitation, this has resulted in a rapid reduction in extent and thinning of many ice-fields and glaciers, exposing new terrain for colonisation while, at the same time, altering patterns of water availability in terrestrial habitats. The rapid development of communities on newly-exposed ground is also facilitated by the existence of soil propagule banks, which contain propagules of both local and exotic origin. In this paper we collate and review evidence from a range of observational and manipulative studies that investigate the effect of climate change, especially increased temperature, on the processes of colonisation and subsequent community development by plants in the Antarctic. Biological changes that have been associated with climate change are visible in the form of expansions in range and local population numbers amongst elements of the flora. Environmental manipulation experiments further demonstrate the possibility of large and rapid species and community responses to climate amelioration, with many resident biota responding positively, at least in the absence of increased competition from exotic colonists. Manipulation studies are also starting to elucidate more subtle responses to climate changes, at levels ranging from cell biochemistry to habitat and food web structure. Integrating such subtle responses is vital to improving our ability to understand the consequences of climate change, as these may lead to much greater consequential impacts on communities and ecosystems.</t>
  </si>
  <si>
    <t>British Antarctic Survey, Nat Environm Res Council, Cambridge CB3 0ET, England</t>
  </si>
  <si>
    <t>Convey, P (corresponding author), British Antarctic Survey, Nat Environm Res Council, Madingley Rd, Cambridge CB3 0ET, England.</t>
  </si>
  <si>
    <t>p.convey@bas.ac.uk</t>
  </si>
  <si>
    <t>Convey, Peter/AAV-5728-2020</t>
  </si>
  <si>
    <t>Convey, Peter/0000-0001-8497-9903</t>
  </si>
  <si>
    <t>NERC [bas010008] Funding Source: UKRI; Natural Environment Research Council [bas010008] Funding Source: researchfish</t>
  </si>
  <si>
    <t>1385-0237</t>
  </si>
  <si>
    <t>1573-5052</t>
  </si>
  <si>
    <t>PLANT ECOL</t>
  </si>
  <si>
    <t>Plant Ecol.</t>
  </si>
  <si>
    <t>10.1007/s11258-005-9022-2</t>
  </si>
  <si>
    <t>Plant Sciences; Ecology; Forestry</t>
  </si>
  <si>
    <t>Plant Sciences; Environmental Sciences &amp; Ecology; Forestry</t>
  </si>
  <si>
    <t>053ZF</t>
  </si>
  <si>
    <t>WOS:000238344200001</t>
  </si>
  <si>
    <t>Huiskes, AHL; Boschker, HTS; Lud, D; Moerdijk-Poortvliet, TCW</t>
  </si>
  <si>
    <t>Huiskes, A. H. L.; Boschker, H. T. S.; Lud, D.; Moerdijk-Poortvliet, T. C. W.</t>
  </si>
  <si>
    <t>Stable isotope ratios as a tool for assessing changes in carbon and nutrient sources in antarctic terrestrial ecosystems</t>
  </si>
  <si>
    <t>delta C-13; delta N-15; Deschampsia antarctica; lichen; melt water; Prasiola crispa; precipitation</t>
  </si>
  <si>
    <t>NITROGEN; ISLAND</t>
  </si>
  <si>
    <t>Samples of an angiosperm species, nine lichen species and a terrestrial alga, were collected from a variety of Antarctic terrestrial habitats, and were analysed for C and N stable isotope composition. Collections were made along natural gradients, the marine gradient, running from the sea coast inland and the moisture gradient, determined by melt water and precipitation runoff, and running towards the sea coast. Considerable variation in stable isotope ratios was found; delta C-13 values ranged between -16 and -32 degrees and delta N-15 values between -23 and +23 degrees The variation in stable carbon isotope ratios could be attributed in part to species specific differences, but differences in water availability also played a role, as was shown for the terrestrial alga Prasiola crispa and the lichen species Usnea antarctica. The differences in the isotope ratios of nitrogen could be retraced to the origin of nitrogen: marine or terrestrial. The nitrogen stable isotope ratios were influenced by both the marine gradient from the sea inland and the melt water and precipitation flow running in the opposite direction, towards the sea. This was shown for the lichen species Turgidosculum complicatulum and the angiosperm species Deschampsia antarctica. The variation in the C and N stable isotope ratios can be used to determine sources and pathways of N and changes in the water availability in Antarctic terrestrial ecosystems. Contrary to earlier reports the use of stable N isotope ratios is possible in this case because of the relative simplicity of the structure of the Antarctic terrestrial ecosystems.</t>
  </si>
  <si>
    <t>Royal Netherlands Acad Arts &amp; Sci, Netherlands Inst Ecol, NIOO, KNAW,Unit Polar Ecol, NL-4400 AC Yerseke, Netherlands</t>
  </si>
  <si>
    <t>Royal Netherlands Academy of Arts &amp; Sciences; Netherlands Institute of Ecology (NIOO-KNAW)</t>
  </si>
  <si>
    <t>Huiskes, AHL (corresponding author), Royal Netherlands Acad Arts &amp; Sci, Netherlands Inst Ecol, NIOO, KNAW,Unit Polar Ecol, POB 140, NL-4400 AC Yerseke, Netherlands.</t>
  </si>
  <si>
    <t>a.huiskes@nioo.knaw.nl</t>
  </si>
  <si>
    <t>Huiskes, Ad/C-3252-2011; Boschker, Henricus T.S./A-8868-2011</t>
  </si>
  <si>
    <t>Lud, Daniela/0000-0003-2306-5416</t>
  </si>
  <si>
    <t>10.1007/s11258-005-9032-0</t>
  </si>
  <si>
    <t>WOS:000238344200006</t>
  </si>
  <si>
    <t>Boelen, P; de Boer, MK; de Bakker, NVJ; Rozema, J</t>
  </si>
  <si>
    <t>Boelen, Peter; de Boer, M. Karin; de Bakker, Nancy V. J.; Rozema, Jelte</t>
  </si>
  <si>
    <t>Outdoor studies on the effects of solar UV-B on bryophytes: Overview and methodology</t>
  </si>
  <si>
    <t>Antarctic; Arctic; bryophytes; Chorisodontium aciplyllum; cyclobutane Pyrimidine dimers; DNA damage; mosses; ozone depletion; Polytrichum strictum; Sanionia uncinata; terrestrial polar ecosystems; ultraviolet-B radiation; UV-B exposure systems; UVBR; Warnstorfia sarmentosa</t>
  </si>
  <si>
    <t>TIERRA-DEL-FUEGO; SUB-ARCTIC HEATH; UNCINATA HEDW. LOESKE; ULTRAVIOLET-RADIATION; OZONE DEPLETION; OXIDATIVE STRESS; CLIMATE-CHANGE; GLOBAL CHANGE; DNA-DAMAGE; SPHAGNUM</t>
  </si>
  <si>
    <t>In this review all recent field studies on the effects of UV-B radiation on bryophytes are discussed. In most of the studies fluorescent UV-B tubes are used to expose the vegetation to enhanced levels of UV-B radiation to simulate stratospheric ozone depletion. Other studies use screens to filter the UV-B part of the solar spectrum, thereby comparing ambient levels of UV-B with reduced UV-B levels, or analyse effects of natural variations in UV-B arising from stratospheric ozone depletion. Nearly all studies show that mosses are well adapted to ambient levels of UV-B radiation since UV-B hardly affects growth parameters. In contrast with outdoor studies on higher plants, soluble UV-B absorbing compounds in bryophytes are typically not induced by enhanced levels of UV-B radiation. A few studies have demonstrated that UV-B radiation can influence plant morphology, photosynthetic capacity, photosynthetic pigments or levels of DNA damage. However, there is only a limited number of outdoor studies presented in the literature. More additional, especially long-term, experiments are needed to provide better data for statistical meta-analyses. A mini UV-B supplementation system is described, especially designed to study effects of UV-B radiation at remote field locations under harsh conditions, and which is therefore suited to perform long-term studies in the Arctic or Antarctic. The first results are presented from a long-term UV-B supplementation experiment at Signy Island in the Maritime Antarctic.</t>
  </si>
  <si>
    <t>Vrije Univ Amsterdam, Fac Earth &amp; Life Sci, Inst Ecol Sci, Dept Syst Ecol, NL-1081 HV Amsterdam, Netherlands; Univ Groningen, Dept Marine Biol, NL-9750 AA Haren, Netherlands</t>
  </si>
  <si>
    <t>Vrije Universiteit Amsterdam; University of Groningen</t>
  </si>
  <si>
    <t>Boelen, P (corresponding author), Vrije Univ Amsterdam, Fac Earth &amp; Life Sci, Inst Ecol Sci, Dept Syst Ecol, De Boelelaan 1087, NL-1081 HV Amsterdam, Netherlands.</t>
  </si>
  <si>
    <t>peter.boelen@ecology.falw.vu.nl</t>
  </si>
  <si>
    <t>Boelen, Peter/0000-0001-7023-4986</t>
  </si>
  <si>
    <t>10.1007/s11258-005-9023-1</t>
  </si>
  <si>
    <t>WOS:000238344200010</t>
  </si>
  <si>
    <t>Arntz, WE; Thatje, S; Linse, K; Avila, C; Ballesteros, M; Barnes, DKA; Cope, T; Cristobo, FJ; De Broyer, C; Gutt, J; Isla, E; López-González, P; Montiel, A; Munilla, T; Esplá, AAR; Raupach, M; Rauschert, M; Rodríguez, E; Teixidó, N</t>
  </si>
  <si>
    <t>Missing link in the Southern Ocean:: sampling the marine benthic fauna of remote Bouvet Island</t>
  </si>
  <si>
    <t>POLAR BIOLOGY</t>
  </si>
  <si>
    <t>DISPERSAL; ZEALAND</t>
  </si>
  <si>
    <t>Bouvet (Bouvetoya) is a geologically young and very remote island just south of the Polar Front. Here we report samples taken during the RV Polarstern cruise ANTXXI/2 on 3 days in November 2003 and January 2004. This work was part of SCAR's EASIZ programme and intended, by providing data on the marine fauna of this white gap in the Atlantic sector of the Southern Ocean, to contribute to identifying the role of Bouvet in the faunal exchange between the Sub- and high Antarctic. While this goal demands extensive molecular analysis of the material sampled (future work), a checklist of the samples and data at hand widens the faunal and environmental inventory substantially. We suggest some preliminary conclusions on the relationship of Bouvet Island's fauna with that of other regions, such as Magellanic South America, the Antarctic Peninsula, and the high Antarctic Weddell Sea, which have been sampled previously. There seem to be different connections for individual higher taxa rather than a generally valid consistent picture.</t>
  </si>
  <si>
    <t>Univ Southampton, Natl Oceanog Ctr, Sch Ocean &amp; Earth Sci, Southampton SO14 3ZH, Hants, England; Alfred Wegener Inst Polar &amp; Marine Res, D-27515 Bremerhaven, Germany; British Antarctic Survey, NERC, Cambridge CB3 0ET, England; CEAB, CSIC, Blanes 17300, Catalunya, Spain; Univ Barcelona, Fac Biol, Dept Biol Anim, E-08028 Barcelona, Spain; Univ Santiago de Compostela, Estac Biol Marina Grana, Grana Ferrol 15590 A, Galicia, Spain; Inst Royal Sci Nat Belgique, Dept Invertebres Carcinol, B-1000 Brussels, Belgium; Inst Ciencias Mar, Barcelona 08003, Spain; Univ Seville, Dipartimento Fisiol &amp; Zool, Fac Biol, E-41012 Seville, Spain; Univ Autonoma Barcelona, Dept Biol Anim, E-08193 Barcelona, Spain; Univ Alicante, Dipartimento Ciencias Mar &amp; Biol Aplicada, E-03080 Alicante, Spain; Ruhr Univ Bochum, Lehrstuhl Spezielle Zool, D-44780 Bochum, Germany</t>
  </si>
  <si>
    <t>NERC National Oceanography Centre; University of Southampton; Helmholtz Association; Alfred Wegener Institute, Helmholtz Centre for Polar &amp; Marine Research; UK Research &amp; Innovation (UKRI); Natural Environment Research Council (NERC); NERC British Antarctic Survey; Consejo Superior de Investigaciones Cientificas (CSIC); CSIC - Centre d'Estudis Avancats de Blanes (CEAB); University of Barcelona; Universidade de Santiago de Compostela; Consejo Superior de Investigaciones Cientificas (CSIC); CSIC - Centro Mediterraneo de Investigaciones Marinas y Ambientales (CMIMA); CSIC - Instituto de Ciencias del Mar (ICM); University of Sevilla; Autonomous University of Barcelona; Universitat d'Alacant; Ruhr University Bochum</t>
  </si>
  <si>
    <t>Univ Southampton, Natl Oceanog Ctr, Sch Ocean &amp; Earth Sci, European Way, Southampton SO14 3ZH, Hants, England.</t>
  </si>
  <si>
    <t>svth@noc.soton.ac.uk</t>
  </si>
  <si>
    <t>Lopez-González, Pablo J./Y-6440-2018; Avila, Conxita/B-9466-2008; Raupach, Michael J./AAF-7566-2020; Raupach, Michael/G-7072-2012; Cristobo, Javier/M-1949-2014; Ballesteros, Manuel/M-1664-2014; Ramos Espla, Alfonso/P-6885-2014</t>
  </si>
  <si>
    <t>Lopez-González, Pablo J./0000-0002-7348-6270; Avila, Conxita/0000-0002-5489-8376; Raupach, Michael J./0000-0001-8299-6697; Ballesteros, Manuel/0000-0001-9055-1241; Ramos Espla, Alfonso/0000-0002-6886-218X; Montiel, Americo/0000-0002-2644-4879; Gutt, Julian/0000-0003-3773-9370; Isla, Enrique/0000-0003-4959-6936; Linse, Katrin/0000-0003-3477-3047; Teixido, Nuria/0000-0001-9286-2852</t>
  </si>
  <si>
    <t>233 SPRING ST, NEW YORK, NY 10013 USA</t>
  </si>
  <si>
    <t>0722-4060</t>
  </si>
  <si>
    <t>1432-2056</t>
  </si>
  <si>
    <t>POLAR BIOL</t>
  </si>
  <si>
    <t>Polar Biol.</t>
  </si>
  <si>
    <t>10.1007/s00300-005-0047-8</t>
  </si>
  <si>
    <t>Biodiversity Conservation; Ecology</t>
  </si>
  <si>
    <t>004DL</t>
  </si>
  <si>
    <t>Green Accepted, Green Submitted</t>
  </si>
  <si>
    <t>WOS:000234732100002</t>
  </si>
  <si>
    <t>Gutt, J; Fricke, A; Teixidó, N; Potthoff, M; Arntz, WE</t>
  </si>
  <si>
    <t>Mega-epibenthos at Bouvet Island (South Atlantic):: a spatially isolated biodiversity hot spot on a tiny geological spot</t>
  </si>
  <si>
    <t>DIVERSITY; PARAMETERS; WEDDELL; OCEAN; SEALS</t>
  </si>
  <si>
    <t>Mega-epibenthic diversity was analysed using a seabed photography at four stations off Bouvet Island and one station at the Spiess Seamount in the South Atlantic. Surprisingly, the intermediate-scale diversity within the area of investigation was not lower compared to that on the Patagonian shelf and only moderately lower than that on the Antarctic continental shelf. This result is incompatible with Mac Arthur and Wilson's Island Biogeography Theory describing species richness as a function of immigration of new species into an area and its extension. The relatively high species number and the very small extension of the Bouvet shelf compared to the much larger continental shelves of the other two areas can be explained by long-range dispersal of marine benthic animals in the Antarctic Circumpolar Current and high habitat heterogeneity. The observed uncoupling of intermediate-scale from large-scale background species diversity on the Antarctic shelf raises the question whether in these benthic systems an upper capacity limit for diversity exists.</t>
  </si>
  <si>
    <t>Alfred Wegener Inst Polar &amp; Marine Res, D-27568 Bremerhaven, Germany; Inst Ciencias Mar, Barcelona 08003, Spain</t>
  </si>
  <si>
    <t>Helmholtz Association; Alfred Wegener Institute, Helmholtz Centre for Polar &amp; Marine Research; Consejo Superior de Investigaciones Cientificas (CSIC); CSIC - Centro Mediterraneo de Investigaciones Marinas y Ambientales (CMIMA); CSIC - Instituto de Ciencias del Mar (ICM)</t>
  </si>
  <si>
    <t>Gutt, Julian/0000-0003-3773-9370; Teixido, Nuria/0000-0001-9286-2852; Fricke, Anna/0000-0003-1188-0114</t>
  </si>
  <si>
    <t>233 SPRING STREET, NEW YORK, NY 10013 USA</t>
  </si>
  <si>
    <t>10.1007/s00300-005-0012-6</t>
  </si>
  <si>
    <t>WOS:000234732100003</t>
  </si>
  <si>
    <t>Jacob, U; Brey, T; Fetzer, I; Kaehler, S; Mintenbeck, K; Dunton, K; Beyer, K; Struck, U; Pakhomov, EA; Arntz, WE</t>
  </si>
  <si>
    <t>Towards the trophic structure of the Bouvet Island marine ecosystem</t>
  </si>
  <si>
    <t>PRINCE-EDWARD-ISLANDS; STABLE-ISOTOPE ANALYSIS; FOOD-WEB; SOUTHERN-OCEAN; COMMUNITY STRUCTURE; FISH; DELTA-C-13; ECOLOGY; MACROALGAE; CARBON</t>
  </si>
  <si>
    <t>Although Bouvet Island is of considerable importance for Southern Ocean species conservation, information on the marine community species inventory and trophic functioning is scarce. Our combined study of stable isotopes and feeding relationships shows that (1) the marine system conforms to the trophic pattern described for other Antarctic systems within the Antarctic circumpolar current (ACC); (2) both the benthic and the pelagic subsystem are almost exclusively linked via suspended particulate organic matter (SPOM); and (3) there is no evidence of a subsystem driven by macroalgae. Bouvet Island can therefore be characterized as a benthic oasis within a self-sustaining open ocean pelagic system.</t>
  </si>
  <si>
    <t>Alfred Wegener Inst Polar &amp; Marine Res, D-27515 Bremerhaven, Germany; Rhodes Univ, So Ocean Grp, ZA-6140 Grahamstown, South Africa; Univ Texas, Inst Marine Sci, Port Aransas, TX 78373 USA; Univ Munich, GeoBio Ctr, D-80333 Munich, Germany; UFZ Helmholtz Ctr Environm Res, D-04318 Leipzig, Germany; Univ Ft Hare, Dept Zool, Fac Sci &amp; Technol, ZA-5700 Alice, South Africa; Univ British Columbia, Dept Earth &amp; Ocean Sci, Vancouver, BC V6T 1Z4, Canada</t>
  </si>
  <si>
    <t>Helmholtz Association; Alfred Wegener Institute, Helmholtz Centre for Polar &amp; Marine Research; Rhodes University; University of Texas System; University of Munich; Helmholtz Association; Helmholtz Center for Environmental Research (UFZ); University of Fort Hare; University of British Columbia</t>
  </si>
  <si>
    <t>Jacob, U (corresponding author), Alfred Wegener Inst Polar &amp; Marine Res, POB 120161, D-27515 Bremerhaven, Germany.</t>
  </si>
  <si>
    <t>ujacob@awi-bremerhaven.de</t>
  </si>
  <si>
    <t>Jacob, Ute/F-8179-2011; Jacob, Ute/H-3089-2018; Fetzer, Ingo/A-6748-2015</t>
  </si>
  <si>
    <t>Fetzer, Ingo/0000-0001-7335-5679; Brey, Thomas/0000-0002-6345-2851; Mintenbeck, Katja/0000-0002-3239-6308</t>
  </si>
  <si>
    <t>10.1007/s00300-005-0071-8</t>
  </si>
  <si>
    <t>WOS:000234732100004</t>
  </si>
  <si>
    <t>A most isolated benthos: coastal bryozoans of Bouvet Island</t>
  </si>
  <si>
    <t>LONG-DISTANCE DISPERSAL; CLIMATE-CHANGE; ANTARCTIC PENINSULA; SOUTHERN-OCEAN; BIODIVERSITY; INVASIONS; DIVERSITY; RESPONSES; DEBRIS</t>
  </si>
  <si>
    <t>Bouvet Island is, uniquely, thousands of km from the next nearest land, even other islands. Its Southern Ocean location, isolation and the exposure of its surrounding cliffs have resulted in only rare visits by ship and its coastal marine fauna is little known. For animal taxa with non-pelagic larvae, such as cheilostome bryozoans, the shelf environment of Bouvet is a rare example of isolated oceanic communities. Agassiz trawl samples of the 2003 ANT XXI-2 cruise of the PFS Polarstern collected a total of 18 species of cheilostomes at four sites around Bouvet Island. Of these only four had been reported before amongst the 20 species of cheilostome previously known from this locality. Furthermore eight of the genera are reported for the first time from Bouvet Island. The assemblages were dominated by Austroflustra vulgaris, and in one case Nematoflustra flagellata. The bryozoan fauna seems to be depauperate and bears only low (32% at species and 46% at genus level) similarity to any location within 3,000 km. Its species composition is typically Southern Ocean, with most affinity to the Scotia Arc and Weddell Sea whereas at generic level it is most similar to the Subantarctic Prince Edward Archipelago.</t>
  </si>
  <si>
    <t>10.1007/s00300-005-0015-3</t>
  </si>
  <si>
    <t>WOS:000234732100005</t>
  </si>
  <si>
    <t>Linse, K</t>
  </si>
  <si>
    <t>New records of shelled marine molluscs at Bouvet Island and preliminary assessment of their biogeographic affinities</t>
  </si>
  <si>
    <t>DIVERSITY; ECOLOGY; SEALS</t>
  </si>
  <si>
    <t>Bouvet Island is one of the most isolated islands in the Southern Ocean and its marine benthic fauna has rarely been investigated and so is poorly known. This study adds 30 molluscan species to the previous faunal record of 16 species. During the expedition ANT XXI-2 of PFS Polarstern 25 species of shelled gastropods, 12 species of bivalves, 3 species of polyplacophorans and 1 species of solenogaster (Aplacophora) were collected at four sites around Bouvet Island in depths between 120 m and 550 m. High percentages of the species representing the shelled molluscan fauna of Bouvet Island are known from sub and high (continental) Antarctica.</t>
  </si>
  <si>
    <t>Natural Environment Research Council [NER/M/S/2003/00102] Funding Source: researchfish</t>
  </si>
  <si>
    <t>10.1007/s00300-005-0721-x</t>
  </si>
  <si>
    <t>WOS:000234732100006</t>
  </si>
  <si>
    <t>Ballesteros, M; Avila, C</t>
  </si>
  <si>
    <t>A new tritoniid species (Mollusca: Opisthobranchia) from Bouvet Island</t>
  </si>
  <si>
    <t>NUDIBRANCHIA; TAXONOMY</t>
  </si>
  <si>
    <t>Tritoniid sea slugs (Mollusca, Gastropoda, Opisthobranchia) are reported for the first time from Bouvet Island. Tritonia dantarti sp. n. shows morphological and anatomical differences with regard to the two previously known tritoniids reported from Antarctica and Sub-Antarctica, Tritonia vorax (Odhner 1926) and Tritonia challengeriana Bergh, 1884. Regarding the external morphology, T. dantarti sp. n. is characterized by a very bright orange coloration in the dorsum, white dorsal crests, highly ramified dendritic gills (the largest vertically orientated and the rest laterally orientated), and a quadrangular cross section. The radula presents very long, thin lateral teeth and the jaws present mainly unicuspidate, striated denticles. The seminal receptacle is large, pear-shaped and its grey pigmentation differs from the rest of the genital system. The Antarctic species T. challengeriana was also found in waters off Bouvet Island, while the Subantarctic species T. vorax was not found.</t>
  </si>
  <si>
    <t>Univ Barcelona, Fac Biol, Dept Biol Anim, E-08028 Barcelona, Spain; CSIC, Ctr Estudis Avancats Blanes, Blanes 17300, Girona, Spain</t>
  </si>
  <si>
    <t>University of Barcelona; Consejo Superior de Investigaciones Cientificas (CSIC); CSIC - Centre d'Estudis Avancats de Blanes (CEAB)</t>
  </si>
  <si>
    <t>Ballesteros, M (corresponding author), Univ Barcelona, Fac Biol, Dept Biol Anim, Av Diagonal 645, E-08028 Barcelona, Spain.</t>
  </si>
  <si>
    <t>mballesteros@ub.edu</t>
  </si>
  <si>
    <t>Avila, Conxita/B-9466-2008; Ballesteros, Manuel/M-1664-2014</t>
  </si>
  <si>
    <t>Avila, Conxita/0000-0002-5489-8376; Ballesteros, Manuel/0000-0001-9055-1241</t>
  </si>
  <si>
    <t>10.1007/s00300-005-0059-4</t>
  </si>
  <si>
    <t>WOS:000234732100007</t>
  </si>
  <si>
    <t>Whinam, J; Copson, G</t>
  </si>
  <si>
    <t>Sphagnum moss:: an indicator of climate change in the sub-Antarctic</t>
  </si>
  <si>
    <t>POLAR RECORD</t>
  </si>
  <si>
    <t>GROWTH</t>
  </si>
  <si>
    <t>Sphagnum moss has been used globally as an indicator of climate change. Since continuous meteorological recording started in the late 1940s, there has been a marked change in the climates of Southern Ocean islands. The distribution of Sphagnum on Macquarie Island appeared to be expanding through the 1980s. All patches of Sphagnum were mapped in the 1992/93 austral summer, with H 2 Sphagnum moss patches (&lt; 3 m(2)) and 12 larger (&gt;= 3 m(2)) patches recorded. The vast majority of sites recorded were lowland coastal. with a few sites around plateau lakes. The area of moss beds ranges from 0.03 m(2) to 32.4 m(2). A total of 23 sites were pegged and tagged by 1996, but only 14 of these sites still had Sphagnum moss present by 2004. It is considered that the climatic conditions (higher than average temperatures and wind speeds and lower than average humidity and precipitation) that occurred between April 1999 and May 2000 would have resulted in a period of desiccation that accounts for the destruction of the smaller and/or shallower Sphagnum beds on the island. It is highly likely that both the spatial distribution and size of Sphagnum moss beds on Macquarie Island will continue to decline with predicted changes in sub-Antarctic climate.</t>
  </si>
  <si>
    <t>Water &amp; Environm, Dept Primary Ind, Biodivers Conservat Branch, Hobart, Tas 7001, Australia</t>
  </si>
  <si>
    <t>Water &amp; Environm, Dept Primary Ind, Biodivers Conservat Branch, GPO Box 44, Hobart, Tas 7001, Australia.</t>
  </si>
  <si>
    <t>32 AVENUE OF THE AMERICAS, NEW YORK, NY 10013-2473 USA</t>
  </si>
  <si>
    <t>0032-2474</t>
  </si>
  <si>
    <t>1475-3057</t>
  </si>
  <si>
    <t>POLAR REC</t>
  </si>
  <si>
    <t>POLAR REC.</t>
  </si>
  <si>
    <t>10.1017/S0032247405004900</t>
  </si>
  <si>
    <t>Ecology; Environmental Sciences</t>
  </si>
  <si>
    <t>011HZ</t>
  </si>
  <si>
    <t>WOS:000235260300005</t>
  </si>
  <si>
    <t>Dodds, KJ</t>
  </si>
  <si>
    <t>Post-colonial Antarctica: an emerging engagement</t>
  </si>
  <si>
    <t>This paper outlines an emerging post-colonial engagement with Antarctica. Although post-colonialism' is a term that covers a great diversity of theoretical and political perspectives, it is generally agreed that it is united in its critical evaluation of colonialism and associated practices. Antarctica, thus far, has not attracted a great deal of attention from post-colonial scholars. By drawing on the limited engagement with Antarctica thus far, it is proposed 14 that there are the intellectual resources for a deeper interrogation of polar colonialism and associated practices such as territorial claiming and base construction. The paper is intended to be a starting point for a more sustained and potentially unsettling engagement with post-colonial Antarctic projects.</t>
  </si>
  <si>
    <t>Univ London Royal Holloway &amp; Bedford New Coll, Dept Geog, Egham TW20 0EX, Surrey, England</t>
  </si>
  <si>
    <t>University of London; Royal Holloway University London</t>
  </si>
  <si>
    <t>Dodds, KJ (corresponding author), Univ London Royal Holloway &amp; Bedford New Coll, Dept Geog, Egham TW20 0EX, Surrey, England.</t>
  </si>
  <si>
    <t>K.Dodds@rhul.ac.uk</t>
  </si>
  <si>
    <t>10.1017/S0032247405004857</t>
  </si>
  <si>
    <t>WOS:000235260300007</t>
  </si>
  <si>
    <t>Abrahamsen, EP; Osterhus, S; Gammelsrod, T</t>
  </si>
  <si>
    <t>Ice draft and current measurements from the north-western Barents Sea, 1993-96</t>
  </si>
  <si>
    <t>POLAR RESEARCH</t>
  </si>
  <si>
    <t>INTERANNUAL VARIABILITY; ANNULAR MODES; ARCTIC-OCEAN; CIRCULATION; THICKNESS; WATER</t>
  </si>
  <si>
    <t>From 1993 to 1996, three oceanographic moorings were deployed in the north-western Barents Sea, each with a current meter and an upward-looking sonar for measuring ice drafts. These yielded three years of currents and two years of ice draft measurements. An interannual variability of almost I m was measured in the average ice draft. Causes for this variability are explored, particularly its possible connection to changes in atmospheric circulation patterns. We found that the flow of Northern Barents Atlantic-derived Water and the transport of ice from the Central Arctic into the Barents Sea appears to be controlled by winds between Nordaustlandet and Franz Josef Land, which in turn may be influenced by larger-scale variations such as the Arctic Oscillation/North Atlantic Oscillation.</t>
  </si>
  <si>
    <t>British Antarctic Survey, NERC, Cambridge CB3 0ET, England; Univ Bergen, Bjerknes Ctr Climate Res, NO-5007 Bergen, Norway; Univ Bergen, Inst Geophys, NO-5007 Bergen, Norway</t>
  </si>
  <si>
    <t>UK Research &amp; Innovation (UKRI); Natural Environment Research Council (NERC); NERC British Antarctic Survey; Bjerknes Centre for Climate Research; University of Bergen; University of Bergen</t>
  </si>
  <si>
    <t>epab@bas.ac.uk</t>
  </si>
  <si>
    <t>Abrahamsen, Povl/B-2140-2008</t>
  </si>
  <si>
    <t>Abrahamsen, Povl/0000-0001-5924-5350; Osterhus, Svein/0000-0001-9915-2685</t>
  </si>
  <si>
    <t>0800-0395</t>
  </si>
  <si>
    <t>1751-8369</t>
  </si>
  <si>
    <t>POLAR RES</t>
  </si>
  <si>
    <t>Polar Res.</t>
  </si>
  <si>
    <t>10.1111/j.1751-8369.2006.tb00148.x</t>
  </si>
  <si>
    <t>Ecology; Geosciences, Multidisciplinary; Oceanography</t>
  </si>
  <si>
    <t>Environmental Sciences &amp; Ecology; Geology; Oceanography</t>
  </si>
  <si>
    <t>011AS</t>
  </si>
  <si>
    <t>Green Accepted</t>
  </si>
  <si>
    <t>WOS:000235240600003</t>
  </si>
  <si>
    <t>Uchida, M; Nakatsubo, T; Kanda, H; Koizumi, H</t>
  </si>
  <si>
    <t>Estimation of the annual primary production of the lichen Cetrariella delisei in a glacier foreland in the High Arctic, Ny-Alesund, Svalbard</t>
  </si>
  <si>
    <t>CONTINENTAL ANTARCTIC CRYPTOGAMS; NET PHOTOSYNTHESIS; ECOPHYSIOLOGICAL INVESTIGATIONS; PHYSIOLOGICAL INVESTIGATIONS; PLANT-PRODUCTION; RESPIRATION; TEMPERATURE; GROWTH; EXCHANGE; DESERT</t>
  </si>
  <si>
    <t>The fruticose lichen Cetrariella delisei is among the dominant lichen species in the deglaciated High Arctic areas of Svalbard. As part of a study of carbon cycling in the High Arctic, we aimed to estimate the primary production of lichen in a deglaciated area in Ny-Alesund, Svalbard (79 degrees N), by examining the effects of abiotic factors on the net photosynthesis (Pn) and dark respiration (R) rates of C. delisei. Experiments were conducted in the snow-free season of 2000 using an open-flow gas exchange system with an infrared gas analyser. Positive photosynthetic activities were observed on rainy days or soon after rainfall when the thallus water content was high, whereas photosynthetic activities dropped below the detectable limit on clear days because of the low thallus water content. Under a sufficiently high thallus water content and close to light saturation, Pn was nearly constant over a wide temperature range of 4-20 degrees C, while R increased with increasing temperature. We constructed a model for estimating the net primary production (NPP) of lichen based on the relationships between abiotic factors and the CO2 exchange rate. The mean, minimum and maximum NPP values in the snow-free season, estimated using meteorological data obtained from 1995-2003, were 5.1, 1.0 and 8.4 g dry wt. m(-2) snow-free season(-1), respectively. These results suggest that NPP is highly variable and the contribution of lichen to carbon input is small compared with that of vascular plants and mosses in the study site.</t>
  </si>
  <si>
    <t>Natl Inst Polar Res, Itabashi Ku, Tokyo 1738515, Japan; Hiroshima Univ, Grad Sch Biosphere Sci, Dept Environm Dynam &amp; Management, Higashihiroshima 7398521, Japan; Gifu Univ, River Basin Res Ctr, Gifu 5011193, Japan</t>
  </si>
  <si>
    <t>Research Organization of Information &amp; Systems (ROIS); National Institute of Polar Research (NIPR) - Japan; Hiroshima University; Gifu University</t>
  </si>
  <si>
    <t>Natl Inst Polar Res, Itabashi Ku, Kaga 1 Chome, Tokyo 1738515, Japan.</t>
  </si>
  <si>
    <t>Nakatsubo, Takayuki/V-4520-2019</t>
  </si>
  <si>
    <t>Nakatsubo, Takayuki/0000-0003-3329-0123</t>
  </si>
  <si>
    <t>OPEN ACADEMIA AB</t>
  </si>
  <si>
    <t>SPANGA</t>
  </si>
  <si>
    <t>STORMBYVAGEN 6, SPANGA, SE-163 55, SWEDEN</t>
  </si>
  <si>
    <t>POLAR RES-SWEDEN</t>
  </si>
  <si>
    <t>10.1111/j.1751-8369.2006.tb00149.x</t>
  </si>
  <si>
    <t>WOS:000235240600004</t>
  </si>
  <si>
    <t>Cafarella, L; Urbini, S; Bianchi, C; Zirizzotti, A; Tabacco, IE; Forieri, A</t>
  </si>
  <si>
    <t>Five subglacial lakes and one of Antarctica's thickest ice covers newly determined by radio echo sounding over the Vostok-Dome C region</t>
  </si>
  <si>
    <t>Radio echo sounding (RES) measurements were collected from 1995 to 2003 during Italian Antarctic expeditions over the Vostok-Dome C region. The data collected allow for the reconstruction of a bedrock elevation map between the Belgica Highlands and the Aurora Subglacial Basin (112.0 degrees-124.0 degrees E; 74.0 degrees-78.0 degrees S). Moreover, analysis of the RES data has revealed one of the thickest ice covers in Antarctica (4755 16 m; 118.321 degrees E, 76.059 degrees S) as well as five new subglacial lakes.</t>
  </si>
  <si>
    <t>Ist Nazl Geofis &amp; Vulcanol, I-00143 Rome, Italy; Univ Milan, Dipartimento Sci Terra, Sez Geofis, I-20129 Milan, Italy</t>
  </si>
  <si>
    <t>Istituto Nazionale Geofisica e Vulcanologia (INGV); University of Milan</t>
  </si>
  <si>
    <t>Cafarella, L (corresponding author), Ist Nazl Geofis &amp; Vulcanol, Via Vigna Murata 605, I-00143 Rome, Italy.</t>
  </si>
  <si>
    <t>cafarella@ingv.it</t>
  </si>
  <si>
    <t>Zirizzotti, Achille/HKE-0592-2023; Cafarella, Lili/HTO-5890-2023; cafarella, lili/G-4160-2011</t>
  </si>
  <si>
    <t>cafarella, lili/0000-0003-2005-8923; Zirizzotti, Achille/0000-0001-7586-9219; urbini, stefano/0000-0002-8053-4197</t>
  </si>
  <si>
    <t>NORWEGIAN POLAR INST</t>
  </si>
  <si>
    <t>TROMSO</t>
  </si>
  <si>
    <t>POLAR ENVIRONMENTAL CENTRE, HJALMAR JOHANSENSGATE 14, TROMSO, FRAMSENTERET, NORWAY</t>
  </si>
  <si>
    <t>10.1111/j.1751-8369.2006.tb00151.x</t>
  </si>
  <si>
    <t>WOS:000235240600006</t>
  </si>
  <si>
    <t>Carlini, AR; Daneri, GA; Casaux, R; Márquez, MEI</t>
  </si>
  <si>
    <t>Carlini, Alejandro R.; Daneri, Gustavo A.; Casaux, Ricardo; Marquez, Maria E. I.</t>
  </si>
  <si>
    <t>Haul-out pattern of itinerant male Antarctic fur seals (Arctocephalus gazella) at Laurie Island, South Orkney Islands</t>
  </si>
  <si>
    <t>POPULATION; TROPICALIS; GEORGIA; KRILL</t>
  </si>
  <si>
    <t>The seasonal haul-out pattern of itinerant male Antarctic fur seals (Arctocephalus gazella) was determined by regular Counts at Mossman Peninsula, Laurie Island, South Orkney Islands, from 1996 to 2005. Small numbers of animals began to arrive at the beach in late December/early January (mean date 28 December +/- 15 days, n = 10). Peak numbers of animals ashore changed considerably between seasons. In 1996. 1998 and 2001, peak numbers were registered in March (6/3, 18/3) and 6/3, respectively). Numbers peaked in 1997, 1999 and 2005 at the end of January/beginning of February (26/1, 2/2 and 28/1. respectively). In 2000 2002, 2003) and 2004 peaks were registered in the third week of February (15/2, 22/2 14/2 and 20/2, respectively). Peaks In numbers of seals ashore also varied between years, being minimum during 2001 (2531 individuals) and maximum during 2006 (16610 individuals). In March 1998 the coasts of Laurie Island were Surveyed by navigating inflatable boats near the shoreline; 18 haul-out places were identified. The big differences in peak numbers, as well as in the dates of peak events among years, Suggest that local conditions could have all effect oil the numbers of animals hauled out in a given year. It may therefore be difficult to predict trends from summer censuses in non-breeding places.</t>
  </si>
  <si>
    <t>Inst Antartico Argentino, Dept Ciencias Biol, RA-1010 Buenos Aires, DF, Argentina; Museo Argentino Cs Nat B Rivadavia, Div Mastozool, RA-1405 Buenos Aires, DF, Argentina</t>
  </si>
  <si>
    <t>Instituto Antartico Argentino</t>
  </si>
  <si>
    <t>Carlini, AR (corresponding author), Inst Antartico Argentino, Dept Ciencias Biol, Cerrito 1248, RA-1010 Buenos Aires, DF, Argentina.</t>
  </si>
  <si>
    <t>acarlini@dna.gov.ar</t>
  </si>
  <si>
    <t>POLAR ENVIRONMENTAL CENTRE, N-9296 TROMSO, NORWAY</t>
  </si>
  <si>
    <t>10.1111/j.1751-8369.2006.tb00029.x</t>
  </si>
  <si>
    <t>061MU</t>
  </si>
  <si>
    <t>WOS:000238877400004</t>
  </si>
  <si>
    <t>Orheim, O</t>
  </si>
  <si>
    <t>Orheim, Olav</t>
  </si>
  <si>
    <t>Remembering Tore Gjelsvik (1916-2006)</t>
  </si>
  <si>
    <t>Biographical-Item</t>
  </si>
  <si>
    <t>Tore Gjelsvik, former director of the Norwegian Polar Institute, died at the beginning of this year. He is fondly remembered by a great many people. In this piece, Olav Orheim recalls the man and his key role in Norwegian polar activities. Orheim was head of Antarctic Research at the Norwegian Polar Institute in 1972-1993 and was the institute's director from 1993 to 2005.</t>
  </si>
  <si>
    <t>Res Council Norway, NO-0131 Oslo, Norway</t>
  </si>
  <si>
    <t>Research Council of Norway</t>
  </si>
  <si>
    <t>Orheim, O (corresponding author), Res Council Norway, Box 2700 St Hanshaugen, NO-0131 Oslo, Norway.</t>
  </si>
  <si>
    <t>oo@forskningsradet.no</t>
  </si>
  <si>
    <t>10.1111/j.1751-8369.2006.tb00030.x</t>
  </si>
  <si>
    <t>WOS:000238877400005</t>
  </si>
  <si>
    <t>Hong, CK; Grejner-Brzezinska, DA; Arslan, N; Willis, M; Hothem, L</t>
  </si>
  <si>
    <t>NAVSTAR</t>
  </si>
  <si>
    <t>Hong, C. -K.; Grejner-Brzezinska, D. A.; Arslan, N.; Willis, M.; Hothem, L.</t>
  </si>
  <si>
    <t>The Ionospheric Impact on GPS Performance in Southern Polar Region</t>
  </si>
  <si>
    <t>PROCEEDINGS OF THE 19TH INTERNATIONAL TECHNICAL MEETING OF THE SATELLITE DIVISION OF THE INSTITUTE OF NAVIGATION (ION GNSS 2006)</t>
  </si>
  <si>
    <t>Institute of Navigation Satellite Division Proceedings of the International Technical Meeting</t>
  </si>
  <si>
    <t>19th International Technical Meeting of the Satellite Division of the Institute-of-Navigation</t>
  </si>
  <si>
    <t>SEP 26-29, 2006</t>
  </si>
  <si>
    <t>Ft Worth, TX</t>
  </si>
  <si>
    <t>The primary objective of this paper is to present the results of the study of the effects of varying ionospheric conditions on the GPS signal tracking in the southern polar region. In the first stage of this study, the data collected by the OSU/USGS team in October-November 2003 within the TAMDEF (Transantarctic Mountains Deformation) network were used together with some IGS Antarctic stations to study the effect of severe ionospheric storms on GPS hardware. Note that TAMDEF is a joint USGS/OSU project with the primary objective of measuring crustal motion in the Transantarctic Mountains of Southern Victoria Land using GPS techniques. This study included ten Antarctic stations equipped with different dual-frequency GPS hardware, and the data were evaluated for two 24-hour periods of severe ionospheric storm (2003/10/29) and moderate ionospheric conditions (minor storm of 2003/11/11). The results of this study were presented at the IAG Assembly in Cairns, Australia (Grejner-Brzezinska et al., 2005). Additional tests, in a more controlled environment, were carried out at the US Antarctic station, McMurdo, between January 10 and February 6, 2006, under varying ionospheric conditions, where several different types of receivers were connected to the same antenna located on the rooftop of the Crary Laboratory (the primary test site). In this scenario, each antenna was subject to identical ionospheric effects during each day of the test, and no spatial decorrelation effects were present, as seen in the previous study, due to the spatial separation of the receivers tested. It should be noted, however, that no moderate or severe ionospheric storms occurred during the experiment, so, unfortunately, this type of conditions was not tested here. The test was repeated with different receivers connected to different antenna types; a total of four 5-day sessions were carried out. The following receiver types were used at the primary site: Trimble 5700, Ashtech Z-Surveyor, JNS Euro-80 and Novatel DL-4, with the following antennas: Trimble Zephyr Geodetic, Ashtech D/M and Ashtech E/M chokering. In addition, data collected by the MCM4 IGS station, MCMD UNAVCO station, and CRAR USGS station, all located within 300 m from the primary test site, were used in the analyses. These stations were equipped with the following receiver/antenna combinations: AOA SNR-12/AOAD/M_T chokering (MCM4), Trimble NETRS/AOAD/M_T chokering (MCMD), and TPS ODYSEY_E/JPSREGANT_DD_E (CRAR). The UNAVCO TEQC software was used to carry out the analyses. Depending on the data sampling rate and the mask angle, the expected numbers of observations per receiver/satellite were compared to the actual number of measurements collected during the ionospheric events, with a special emphasis on L2 data. A total number of cycle slips and losses of lock were computed and compared among the hardware types. The results presented here indicate that there is no significant effects on the GPS receivers during minor ionospheric storms (Kp&lt;5). However, the results reported in ibid. indicate significant differences in the hardware performance under severe ionospheric storms. Thus, careful hardware selection is needed to assure data quality/continuity when observations may be affected by severe ionospheric disturbances, while under calm to minor ionospheric activity level there is no significant difference in performance among the hardware tested here.</t>
  </si>
  <si>
    <t>[Hong, C. -K.] Ohio State Univ, Dept Civil &amp; Environm Engn &amp; Geodet Sci, Columbus, OH 43210 USA</t>
  </si>
  <si>
    <t>University System of Ohio; Ohio State University</t>
  </si>
  <si>
    <t>Hong, CK (corresponding author), Ohio State Univ, Dept Civil &amp; Environm Engn &amp; Geodet Sci, Columbus, OH 43210 USA.</t>
  </si>
  <si>
    <t>Arslan, Niyazi/G-5017-2018</t>
  </si>
  <si>
    <t>Arslan, Niyazi/0000-0001-5406-6361</t>
  </si>
  <si>
    <t>INST NAVIGATION</t>
  </si>
  <si>
    <t>815 15TH ST NW, STE 832, WASHINGTON, DC 20005 USA</t>
  </si>
  <si>
    <t>2331-5911</t>
  </si>
  <si>
    <t>2331-5954</t>
  </si>
  <si>
    <t>I NAVIG SAT DIV INT</t>
  </si>
  <si>
    <t>Physics, Applied; Telecommunications</t>
  </si>
  <si>
    <t>Physics; Telecommunications</t>
  </si>
  <si>
    <t>BPK07</t>
  </si>
  <si>
    <t>WOS:000279025901065</t>
  </si>
  <si>
    <t>Grejner-Brzezinska, DA; Vázquez, E; Hothem, L</t>
  </si>
  <si>
    <t>Grejner-Brzezinska, Dorota A.; Vazquez, Esteban; Hothem, Larry</t>
  </si>
  <si>
    <t>Geodetic antenna calibration test in the Antarctic environment</t>
  </si>
  <si>
    <t>TransAntarctic Mountain DEFormation (TAMDEF) Monitoring Network is the NSF-sponsored OSU and USGS project, aimed at measuring crustal motion in the Transantarctic Mountains of Victoria Land using GPS carrier phase measurements. Station monumentation, antenna mounts, antenna types, and data processing strategies were optimized to achieve mm-level estimates for the rates of motion. These data contributes also to regional Antarctic frame definition. Significant amount of data collected over several years allow the investigation of unique aspects of GPS geodesy in Antarctica, to determine how the error spectrum compares to the mid-latitude regions, and to identify the optimum measurement and data processing schemes for Antarctic conditions, in order to test the predicted rates of motion (mm-level w.r.t. time). The data collection for the TAMDEF project was initiated in 1996. The primary antenna used has been the Ashtech L1/L2 Dorne Margolin (D/M) choke ring. A few occupations involved the use of a Trimble D/M choke ring. The data were processed using the antenna calibration data available from the National Geodetic Survey (NGS). The recent developments in new antenna designs that are lighter in weight and lower in cost are being considered as a possible alternative to the bulkier and more expensive D/M choke ring design. In November 2003, in situ testing of three alternative models of L1/L2 antennas was conducted at a site located in the vicinity of McMurdo Station, Antarctica (S77.87, E166.56). The antenna models used in this test were: Ashtech D/M choke ring, Trimble D/M choke ring, Trimble Zephyr, and the NovAtel GPS-702. Two stations, spaced within 30 meters, were used in the test. Both had the characteristics similar to the stations of the TAMDEF network, i.e., the UNAVCO fixed-height, force-centered level mounts with a constant antenna offset were used, ensuring extreme stability of the antenna/mount/pin set up. During each of the four 3-day test data collection sessions, a reference station was occupied continuously with the Ashtech D/M choke ring antenna, while the second station was occupied by the tested antennas, one 3-day session for each antenna type. The coordinate differences were produced using software optimized for the analysis of data collected over short baselines. Each solution incorporated the NGS antenna calibration data appropriate for each antenna model. Hourly and 24-hour solutions were analyzed for repeatability and compared to the standard baseline coordinate differences. No significant variation was observed when comparing the same type of antennas and when switching antennas at the test site using daily solutions. An mm-level scatter can be observed comparing different antennas over the 1-hour solutions; it is smaller for the horizontal components, as compared to the vertical direction. At this point, it can be concluded that the standard antenna calibration models from NGS used for each antenna involved in this test did not result in any significant variation in the daily results, but with some in the hourly results. Thus, based on this fact, the antenna types tested here could be used in the future TAMDEF campaigns, where 24-hour solutions are normally used for deformation monitoring. These results can serve as good guidance to any future use of GPS equipment in Antarctica.</t>
  </si>
  <si>
    <t>[Grejner-Brzezinska, Dorota A.; Vazquez, Esteban] Ohio State Univ, Satellite Positioning &amp; Inertial Nav SPIN Lab, Dept Civil &amp; Environm Engn &amp; Geodet Sci, Columbus, OH 43210 USA</t>
  </si>
  <si>
    <t>Grejner-Brzezinska, DA (corresponding author), Ohio State Univ, Satellite Positioning &amp; Inertial Nav SPIN Lab, Dept Civil &amp; Environm Engn &amp; Geodet Sci, Columbus, OH 43210 USA.</t>
  </si>
  <si>
    <t>Vazquez, Esteban/0000-0002-8456-537X</t>
  </si>
  <si>
    <t>WOS:000279025903041</t>
  </si>
  <si>
    <t>Nitschke, A</t>
  </si>
  <si>
    <t>ASME</t>
  </si>
  <si>
    <t>Nitschke, Andreas</t>
  </si>
  <si>
    <t>Design and construction of the planned research station neumayer III in the antarctic</t>
  </si>
  <si>
    <t>Proceedings of the 25th International Conference on Offshore Mechanics and Arctic Engineering, Vol 2</t>
  </si>
  <si>
    <t>25th International Conference on Offshore Mechanics and Arctic Engineering (OMAE 2006)</t>
  </si>
  <si>
    <t>JUN 04-09, 2006</t>
  </si>
  <si>
    <t>Hamburg, GERMANY</t>
  </si>
  <si>
    <t>The Federal Republic of Germany operates research stations on the Ekstrom Ice Shelf west of the Atka Bay in the Antarctic since 1981. Due to the annual accumulation of snow and thereby increasing pressures, sub-surface stations have a limited service life time of about 15 years. The planned new Neumayer Station III ought to allow for the increased demands of scientific research and for the grown environmental awareness. The design concept considers an elevated station body and a service garage underneath. A hydraulic mechanism allows an annual lifting of the station to compensate for snow accumulation and settlements. Thus, the projected service life time for the new station is about 30 years, twice as long as for the existing station. The weather conditions in the Antarctic call for high standards of safety and functionality of the applied techniques and are the determining parameters for design and manufacturing of the station.</t>
  </si>
  <si>
    <t>IMS Ingn Gesell mbH, Hamburg, Germany</t>
  </si>
  <si>
    <t>Nitschke, A (corresponding author), IMS Ingn Gesell mbH, Hamburg, Germany.</t>
  </si>
  <si>
    <t>AMER SOC MECHANICAL ENGINEERS</t>
  </si>
  <si>
    <t>THREE PARK AVENUE, NEW YORK, NY 10016-5990 USA</t>
  </si>
  <si>
    <t>978-0-7918-4747-3</t>
  </si>
  <si>
    <t>Engineering, Marine; Engineering, Ocean; Engineering, Petroleum; Engineering, Mechanical; Engineering, Geological</t>
  </si>
  <si>
    <t>BGP27</t>
  </si>
  <si>
    <t>WOS:000249368000083</t>
  </si>
  <si>
    <t>Leiti, B; Schatzmann, M; Baur, T; Koenig-Langlo, G</t>
  </si>
  <si>
    <t>Leiti, Bernd; Schatzmann, Michael; Baur, Tillmann; Koenig-Langlo, Gert</t>
  </si>
  <si>
    <t>Physical modeling of snow drift and wind pressure distribution at the proposed german antarctic station neumayer III</t>
  </si>
  <si>
    <t>Snow drift performance and wind pressure distribution was studied at scaled wind tunnel models of the new Antarctic research station Neumayer III. One objective of the project was to identify possible problems due to wind driven erosion and accumulation of snow around the station body to be constructed on the Antarctic shelf ice. Based on systematic wind tunnel testing including flow visualization experiments, wall shear stress visualization, flow measurements and physical modeling of wind erosion and snow drift, a comprehensive insight into the complex flow phenomena around the station was gained. In a second set of wind tunnel tests, wind pressure distributions were measured for the final station design in order to assist the structural design process. Both, snow drift modeling as well as the wind flow and wind pressure measurements at the station delivered relevant information integrated into the design process and the operational advice of the station.</t>
  </si>
  <si>
    <t>Univ Hamburg, Environm Wind Tunnel Lab, Inst Meteorol, Hamburg, Germany</t>
  </si>
  <si>
    <t>University of Hamburg</t>
  </si>
  <si>
    <t>Leiti, B (corresponding author), Univ Hamburg, Environm Wind Tunnel Lab, Inst Meteorol, Hamburg, Germany.</t>
  </si>
  <si>
    <t>WOS:000249368000086</t>
  </si>
  <si>
    <t>Wilkman, G; Mattsson, T; Niini, M</t>
  </si>
  <si>
    <t>Wilkman, Goran; Mattsson, Tom; Niini, Mikko</t>
  </si>
  <si>
    <t>First experience in the next generation ice laboratory for testing ships and structures</t>
  </si>
  <si>
    <t>Ice model testing has a history of almost 50 years. The first basin started operation in the middle of 1950ies in Russia by Arctic and Antarctic Research Institute (AARI). Ever since there has been a number of facilities built worldwide. In Finland the first facility was built by Wartsila in 1969 for testing tankers intended for North-west passage (Manhattan project). In the eighties new facilities were built in Finland, Germany, Canada, Russia and Japan. In the present facility of Kvaerner Masa-Yards Arctic Technology (MARC) in Helsinki the. operation started in 1983 under the name of Wartsila Arctic Research Centre (WARC). The operation of the facility was originally planned to continue till 2011, but as part of the Helsinki City planning activity it was agreed that the facility is to end its successful work during 2005. In spring 2004 decisions were made by the new parent Aker Yards group and Aker Finnyards (that time Kvaerner Masa-Yards) to build a new facility and establish a separate company to handle ICE ISSUES for the whole Aker group. The new company, Aker Arctic Technology AARC, started operation in the beginning of 2005 and the new model testing facility was opened in February 2006. Aker Arctic Technology Inc. is owned by Aker Finnyards, Aker Kvaerner, Wartsila and ABB. The services of the new company, in addition to the traditional model testing and related issues (environment studies, design bases and ship design concepts) will cover also total vessel design packages. This paper describes the novelties of the new ice model testing facility and reveals technical improvements, lessons learned and possibilities for more enhanced operation. Also the first experience in the new facility will be discussed.</t>
  </si>
  <si>
    <t>Aker Arctic Technol Inc, Helsinki, Finland</t>
  </si>
  <si>
    <t>Wilkman, G (corresponding author), Aker Arctic Technol Inc, Helsinki, Finland.</t>
  </si>
  <si>
    <t>WOS:000249368000092</t>
  </si>
  <si>
    <t>Yang, DF; Chen, Y; Gao, ZH; Zhang, HL; Liu, S</t>
  </si>
  <si>
    <t>Feng, CG; Huang, P; Ma, Y; Li, SC; Wang, YJ; Su, Q</t>
  </si>
  <si>
    <t>Yang Dongfang; Chen Yu; Gao Zhenhui; Zhang Hongliang; Liu Shuang</t>
  </si>
  <si>
    <t>Silicon complementary mechanism in the earth ecosystem</t>
  </si>
  <si>
    <t>Proceedings of the China Association for Science and Technology, Vol 2, No 1</t>
  </si>
  <si>
    <t>Annual Conference of the China-Association-for-Science-and-Technology</t>
  </si>
  <si>
    <t>AUG 20-23, 2005</t>
  </si>
  <si>
    <t>Urumqi, PEOPLES R CHINA</t>
  </si>
  <si>
    <t>silicon; phytoplankton growth; marine ecosystem; complementary mechanism; earth ecosystem</t>
  </si>
  <si>
    <t>PRIMARY PRODUCTIVITY; BIOGENIC SILICA; ANTARCTIC OCEAN; MARINE DIATOMS; CYCLE; RIVER; NUTRIENT; NITROGEN; OCEANOGRAPHY</t>
  </si>
  <si>
    <t>The biogeochemical process of silicon determined that silicon was inputted from rivers into oceans. After being absorbed by phytoplankton, silicon would fall to the sea bottom. In the water bodies, silicon almost had no regenerative process, and human activities such as dams, reservoirs and diversion of the course of river would prevent or decrease the land sources from transporting silicon into the sea. Meanwhile, human has transported a great deal of nitrogen and phosphorous into the sea by the polluted sources, while relatively decreased the transportation of silicon. In this way, the limitation of silicon on phytoplankton growth in the sea became worse and worse, which would have disastrous affect on the marine ecosystem. The deficiency of silicon in the sea would destroy the marine ecology, and how to resolve the deficiency of silicon is a serious problem for human beings, who could have no way to put silicon into the oceans accounting for 70% of the size of the world. Only the earth ecosystem would be able to provide a great deal of silicon for the sea to keep the sustainable development of the marine ecosystem. Therefore, the authors put forward the complementary mechanism of nutrient silicon. The authors considered that the earth ecosystem would start up the complementary mechanism of nutrient silicon put for-ward in this paper to keep the balance of phytoplankton growth and the sustainable development of the marine ecosystem, and slow down the increase of CO2 in atmosphere. The flood near coasts and the sandstorms in atmosphere and the sediments in the sea bottom input a great deal of silicon into the scant-silicon water bodies. Then, by three paths of land, atmosphere and sea bottom, silicon would be inputted into the sea to satisfy the phytoplankton growth.</t>
  </si>
  <si>
    <t>Shanghai Fisheries Univ, Coll Fishery Sci, Shanghai 200090, Peoples R China</t>
  </si>
  <si>
    <t>Shanghai Ocean University</t>
  </si>
  <si>
    <t>Yang, DF (corresponding author), Shanghai Fisheries Univ, Coll Fishery Sci, Shanghai 200090, Peoples R China.</t>
  </si>
  <si>
    <t>SCIENCE PRESS BEIJING</t>
  </si>
  <si>
    <t>BEIJING</t>
  </si>
  <si>
    <t>16 DONGHUANGCHENGGEN NORTH ST, BEIJING 100707, PEOPLES R CHINA</t>
  </si>
  <si>
    <t>7-03-016765-1</t>
  </si>
  <si>
    <t>BEN72</t>
  </si>
  <si>
    <t>WOS:000238346000100</t>
  </si>
  <si>
    <t>Zhang, QH; Fan, HM; Qu, YY</t>
  </si>
  <si>
    <t>Zhu, DX; Zhou, L; Yang, XC</t>
  </si>
  <si>
    <t>Zhang Qing-hua; Fan Hai-mei; Qu Yuan-yuan</t>
  </si>
  <si>
    <t>A dynamic model for cause of formation of Peru Current</t>
  </si>
  <si>
    <t>PROCEEDINGS OF THE CONFERENCE OF GLOBAL CHINESE SCHOLARS ON HYDRODYNAMICS</t>
  </si>
  <si>
    <t>Conference on Global Chinese Scholars on Hydrodynamics</t>
  </si>
  <si>
    <t>JUL 11-14, 2006</t>
  </si>
  <si>
    <t>antarctic circumpolar current (ACC); Peru current; corrected Fourier method</t>
  </si>
  <si>
    <t>The generation mechanism of Peru Current (PC) induced by Antarctic Circumpolar Current (ACC) near the eastern boundary of South Pacific is investigated by decomposing the ACC deformation into basic loop current and eastern boundary current (western boundary current) before (after) ACC flows through Drake strait. In order to simulate this dynamic process, starting from the linearly quasi-geostrophic vorticity equation, we formulate the boundary value problems of differential equation separately at the eastern boundary area and the western boundary area; and then give the solving process of the boundary value problems using corrected Fourier method; finally obtain the Perturbation solutions of the eastern and western boundary areas which include a same set of unknown parameters relating closely to the distribution of current velocity at Drake strait. In addition, the two-sided current of Drake strait should satisfy smooth and linked conditions at Drake strait, and these matching conditions determine this set of parameters. As a result, we present the complete solutions of the ACC deformation at Drake strait; consequently obtain the dynamic explanation for cause of formation of PC.</t>
  </si>
  <si>
    <t>[Zhang Qing-hua; Fan Hai-mei; Qu Yuan-yuan] State Ocean Adm, Key Lab Marine Sci &amp; Numer Modeling, Qingdao 266061, Peoples R China</t>
  </si>
  <si>
    <t>Zhang, QH (corresponding author), State Ocean Adm, Key Lab Marine Sci &amp; Numer Modeling, Qingdao 266061, Peoples R China.</t>
  </si>
  <si>
    <t>zhangqh@fio.org.cn; fanhm@fio.org.cn; quyy@fio.org.cn</t>
  </si>
  <si>
    <t>Zhang, Qinghua/G-3980-2019</t>
  </si>
  <si>
    <t>SHANGHAI UNIV</t>
  </si>
  <si>
    <t>SHANGHAI</t>
  </si>
  <si>
    <t>149 YANCHANG RD, SHANGHAI 200072, PEOPLES R CHINA</t>
  </si>
  <si>
    <t>7-81058-978-4</t>
  </si>
  <si>
    <t>Mechanics</t>
  </si>
  <si>
    <t>BFN43</t>
  </si>
  <si>
    <t>WOS:000243316200077</t>
  </si>
  <si>
    <t>Lee, CJ; Koh, CD; Lee, YY; Park, IR</t>
  </si>
  <si>
    <t>Chung, JS; Hong, SW; Marshall, PW; Komai, T; Koterayama, W</t>
  </si>
  <si>
    <t>Lee, Chun-Ju; Koh, Chang-Doo; Lee, Young-Yeon; Park, Il-Ryong</t>
  </si>
  <si>
    <t>A development of icebreaking hull form for Antarctic Research Vessel</t>
  </si>
  <si>
    <t>PROCEEDINGS OF THE SIXTEENTH (2006) INTERNATIONAL OFFSHORE AND POLAR ENGINEERING CONFERENCE, VOL 1</t>
  </si>
  <si>
    <t>International Offshore and Polar Engineering Conference Proceedings</t>
  </si>
  <si>
    <t>16th International Offshore and Polar Engineering Conference (ISOPE 2006)</t>
  </si>
  <si>
    <t>MAY 28-JUN 02, 2006</t>
  </si>
  <si>
    <t>level ice; ice model test; stem angle; ahead/astern</t>
  </si>
  <si>
    <t>In this paper, an experimental and computational study has been made to investigate the icebreaking capability for the new Korean Antarctic research vessel which is being designed by STX shipbuilding co. Ltd. Recently most countries that had research institutes in the Antarctic regions are operating their own icebreaking vessels and are accordingly supporting the research activities energetically in the Antarctic ocean. However our research institute has used a ship from other countries when necessary, but we have some difficulties to borrow the ship when we need it. So based on the experiences of research activities in our Sejong Antarctic research center during the past two decades, the second Antarctic research institute near the Antarctic pole region is being built and the detail design of an icebreaking research vessel is being conducted in order to get the new icebreaking research vessel supporting the research activities and the natural resource investigation in the Arctic/Antarctic regions since last year. The Antarctic Research Vessel is being designed to incorporate a wide range of scientific and operational capabilities, several of which have a pronounced effect on the design of the vessel to improve bathymetry (bottom mapping) in ice and open water. At the detail design stage two different hull forms were designed considering to navigate both in the open sea and ice conditions. These hull forms were chosen the modified spoon bow and barge-type stern shape and two azimuth propulsor units will be equipped. A CFD method was utilized to optimize the bow shape. Reynolds averaged Navier-Stokes (RANS) equations in conjunction with a Reynolds-stress turbulence model and wall function were solved by using WAVIS code based on a structured multi-block grid systems. The model tests of the vessel were conducted both in the Moeri towing tank and ice model basin of Helsinki university. The aim of the ice tests was to clarify the icebreaking capability ahead and astern in level ice of different thickness and brash ice channel. According to the ice model test results, the continuous icebreaking speed of the modified 2(nd) hull form can be estimated to be 3.0 knots with the power of 10 MW in 1.0 m thick level ice.</t>
  </si>
  <si>
    <t>[Lee, Chun-Ju; Koh, Chang-Doo; Lee, Young-Yeon; Park, Il-Ryong] Maritime &amp; Ocean Engn Res Inst, Daejeon, South Korea</t>
  </si>
  <si>
    <t>Lee, CJ (corresponding author), Maritime &amp; Ocean Engn Res Inst, Daejeon, South Korea.</t>
  </si>
  <si>
    <t>[PM0093A]</t>
  </si>
  <si>
    <t>This paper is a part of the fundamental research project (PM0093A) in 2005 and of the development of the icebreaking research vessel for Ministry of Maritime Affairs and Fisheries.</t>
  </si>
  <si>
    <t>INTERNATIONAL SOCIETY OFFSHORE&amp; POLAR ENGINEERS</t>
  </si>
  <si>
    <t>CUPERTINO</t>
  </si>
  <si>
    <t>PO BOX 189, CUPERTINO, CA 95015-0189 USA</t>
  </si>
  <si>
    <t>1098-6189</t>
  </si>
  <si>
    <t>INT OFFSHORE POLAR E</t>
  </si>
  <si>
    <t>BEZ42</t>
  </si>
  <si>
    <t>WOS:000240310900094</t>
  </si>
  <si>
    <t>Kubyshkin, NV; Buzin, LV; Glazovsky, AF; Skutin, AA</t>
  </si>
  <si>
    <t>Kubyshkin, N. V.; Buzin, L. V.; Glazovsky, A. F.; Skutin, A. A.</t>
  </si>
  <si>
    <t>Determination of the area of generation of big icebergs in the Barents Sea - Temperature distribution analysis</t>
  </si>
  <si>
    <t>Barents Sea; icebergs; glaciers; temperature profiles; thermistor chain; calving</t>
  </si>
  <si>
    <t>Based on the analysis of published materials and field data on the temperature distribution in icebergs and iceberg-producing glaciers of Franz-Josef Land and Novaya Zemlya obtained by Arctic and Antarctic Research Institute (SI AARI) in 2003 and 2005, the most possible areas of formation of some large icebergs are determined. In particular, the conclusion that the big tabular berg detected in the Shtokman Gas Condensed Field (Shtokman GCF) in 2003, most likely originated from one of the outlet glaciers of Franz-Josef Land is made. Earlier, the glaciers of Novaya Zemlya were pointed out as the source of this iceberg.</t>
  </si>
  <si>
    <t>Russian Acad Sci, Arct Shelf Lab, State Inst Arct &amp; Antarct Res Inst, Moscow, Russia</t>
  </si>
  <si>
    <t>Russian Academy of Sciences</t>
  </si>
  <si>
    <t>Kubyshkin, NV (corresponding author), Russian Acad Sci, Arct Shelf Lab, State Inst Arct &amp; Antarct Res Inst, Moscow, Russia.</t>
  </si>
  <si>
    <t>Glazovsky, Andrey/G-9060-2011</t>
  </si>
  <si>
    <t>Glazovsky, Andrey/0000-0001-6275-7517</t>
  </si>
  <si>
    <t>WOS:000240310900098</t>
  </si>
  <si>
    <t>Buzin, IV</t>
  </si>
  <si>
    <t>Chung, JS; Kashiwagi, M; Ferrant, J; Mizutani, N; Chien, LK</t>
  </si>
  <si>
    <t>Buzin, Igor V.</t>
  </si>
  <si>
    <t>Estimations of some components of ice conditions in the north-eastern part of the Barents Sea.</t>
  </si>
  <si>
    <t>PROCEEDINGS OF THE SIXTEENTH (2006) INTERNATIONAL OFFSHORE AND POLAR ENGINEERING CONFERENCE, VOL 3</t>
  </si>
  <si>
    <t>the Barents Sea; the North - Eastern part; ice cover extent; phases of ice phenomena; ice formation</t>
  </si>
  <si>
    <t>EXTENT</t>
  </si>
  <si>
    <t>The most important hydrocarbon fields on the shelf of the Barents Sea were revealed in its north-eastern (NE) part located in the zone of severe climatic conditions. Analysis of some components of ice conditions in the NE part of the Barents Sea is given in the present work. These components are necessary for assessment of ice conditions at preliminary stage of field exploitation. These are above all stages of ice development (thickness), ice concentration and boundaries of propagation, phases of ice phenomena, as well as ice cover extent (as an integral characteristics of ice conditions in this water area).</t>
  </si>
  <si>
    <t>Arctic &amp; Antarctic Res Inst, Arctic Shelf Lab, St Petersburg 199226, Russia</t>
  </si>
  <si>
    <t>Buzin, IV (corresponding author), Arctic &amp; Antarctic Res Inst, Arctic Shelf Lab, St Petersburg 199226, Russia.</t>
  </si>
  <si>
    <t>BEZ44</t>
  </si>
  <si>
    <t>WOS:000240311500017</t>
  </si>
  <si>
    <t>Marshall, J; Radko, T</t>
  </si>
  <si>
    <t>Marshall, John; Radko, Timour</t>
  </si>
  <si>
    <t>A model of the upper branch of the meridional overturning of the southern ocean</t>
  </si>
  <si>
    <t>PROGRESS IN OCEANOGRAPHY</t>
  </si>
  <si>
    <t>meridional overturning circulation; Antarctic Circumpolar Current; Southern ocean</t>
  </si>
  <si>
    <t>ANTARCTIC CIRCUMPOLAR CURRENT; RESIDUAL-MEAN VELOCITY; CIRCULATION; STRATIFICATION; THERMOCLINE; EQUATIONS; ACC</t>
  </si>
  <si>
    <t>A zonal-average model of the upper branch of the meridional overturning circulation of the southern ocean is constructed and used to discuss the processes - wind, buoyancy, eddy forcing and boundary conditions - that control its strength and sense of circulation. The geometry of the thermocline 'wedge', set by the mapping between the vertical spacing of buoyancy surfaces (the stratification) on the equatorial flank of the Antarctic Circumpolar Current and their outcrop at the sea surface, is seen to play a central role by setting the interior large-scale potential vorticity distribution. It is shown that the action of eddies mixing this potential vorticity field induces a residual flow in the meridional plane much as is observed, with upwelling of fluid around Antarctica, northward surface flow and subduction to form intermediate water. Along with this overturning circulation there is a concomitant air-sea buoyancy flux directed in to the ocean. (C) 2006 Elsevier Ltd. All rights reserved.</t>
  </si>
  <si>
    <t>MIT, Dept Earth Atmospher &amp; Planetary Sci, Cambridge, MA 02139 USA</t>
  </si>
  <si>
    <t>Massachusetts Institute of Technology (MIT)</t>
  </si>
  <si>
    <t>Marshall, J (corresponding author), MIT, Dept Earth Atmospher &amp; Planetary Sci, 77 Massachusetts Ave, Cambridge, MA 02139 USA.</t>
  </si>
  <si>
    <t>jmarsh@mit.edu</t>
  </si>
  <si>
    <t>0079-6611</t>
  </si>
  <si>
    <t>PROG OCEANOGR</t>
  </si>
  <si>
    <t>Prog. Oceanogr.</t>
  </si>
  <si>
    <t>2-4</t>
  </si>
  <si>
    <t>10.1016/j.pocean.2006.07.004</t>
  </si>
  <si>
    <t>093LO</t>
  </si>
  <si>
    <t>WOS:000241170000014</t>
  </si>
  <si>
    <t>Machín, F; Hernández-Guerra, A; Pelegrí, JL</t>
  </si>
  <si>
    <t>Machin, F.; Hernandez-Guerra, A.; Pelegri, J. L.</t>
  </si>
  <si>
    <t>Mass fluxes in the Canary Basin</t>
  </si>
  <si>
    <t>Canary Basin; water masses; mass flux; nutrient flux; Canary Current; coastal upwelling; inverse model; (18-9W/27-33N)</t>
  </si>
  <si>
    <t>EASTERN NORTH-ATLANTIC; SEA-SURFACE TEMPERATURE; PHYTOPLANKTON PIGMENT PATTERNS; BOUNDARY CURRENT SYSTEM; SUB-TROPICAL GYRE; SUBTROPICAL GYRE; SEASONAL VARIABILITY; GENERAL-CIRCULATION; MEAN CIRCULATION; ISLANDS REGION</t>
  </si>
  <si>
    <t>Ocean studies in the 1970s provided an improved knowledge of the coastal upwelling region off NW Africa while in the 1980s and 1990s they led to a good description of the open ocean flow patterns in the Canary Basin. It was not until the late 1990s that major research addressed the open-coastal ocean coupled response. Here we examine the mean and seasonal circulation patterns in the Canary Basin with data from four hydrographic cruises carried out in the region between Cape Ghir, Madeira Island, and the Canary Islands. We apply an inverse box model to an ocean divided into 14 layers, with several layers representing each water mass or stratum, to obtain mass fluxes consistent with the thermal wind equation. An optimum flow description is obtained using conservation of mass, salt and heat anomaly, biologically corrected oxygen, and silicate, and allowing for Ekman transport in the surface layer and dianeutral mixing between adjacent layers. The deep waters show no predominant flow direction while the intermediate waters display localized southward flowing Mediterranean Water far from shore, and northward flowing Antarctic Intermediate Water near the continental slope, specially in the passage between the eastern Canary Islands and the African slope. The mean upper-thermocline Canary Current, composed of North Atlantic Central Water, flows south with an open-ocean branch transporting about 3 +/- 1 Sv (1 Sv = 10(6) m(3) s(-1) congruent to 10(9) kg s(-1)), and an upwelling-related branch near the continental slope carrying 1 +/- 0.3 Sv. The seasonal transport by the open-ocean branch intensifies and moves offshore from spring to fall (2.8 +/- 1.2 Sv in spring, 2.9 +/- 1.1 Sv in summer, and 4.5 +/- 1.2 Sv in fall), while it carries its lowest southward mass flux in winter (1.7 +/- 1.0 Sv), possibly as a result of a migration offshore the sampled region. Upwelling-related southward flow is present in spring and summer (1.9 +/- 0.1 Sv and 2.4 +/- 0.1 Sv, respectively) while in fall and winter it merges with the offshore southward branch. This westward migration allows a northward mass flux between the Canary Islands and the African coast (1.8 +/- 0.1 Sv), that by winter reaches Cape Ghir (0.5 +/- 0.2 Sv). Seasonal air-sea heat fluxes fit well with the climatological values. The net phosphate transport in the surface layer indicates that primary production was negligible in this region during January 1997 and April 1998, though in this last month production was probably starting as a result of significant nutrient supply. (C) 2006 Elsevier Ltd. All rights reserved.</t>
  </si>
  <si>
    <t>ULPGC, Fac Ciencias Mar, Gran Canaria, Spain; CSIC, Inst Ciencias Mar, Barcelona, Spain</t>
  </si>
  <si>
    <t>Universidad de Las Palmas de Gran Canaria; Consejo Superior de Investigaciones Cientificas (CSIC); CSIC - Centro Mediterraneo de Investigaciones Marinas y Ambientales (CMIMA); CSIC - Instituto de Ciencias del Mar (ICM)</t>
  </si>
  <si>
    <t>Machín, F (corresponding author), ULPGC, Fac Ciencias Mar, Gran Canaria, Spain.</t>
  </si>
  <si>
    <t>fmachin@becarios.ulpgc.es; ahernandez@dfis.ulpgc.es; pelegri@cmima.csic.es</t>
  </si>
  <si>
    <t>Machin, Francisco/A-9287-2009; Pelegrí, Josep L/L-5815-2014; Hernandez-Guerra, Alonso/A-4747-2008</t>
  </si>
  <si>
    <t>Machin, Francisco/0000-0002-4281-6804; Pelegrí, Josep L/0000-0003-0661-2190; Hernandez-Guerra, Alonso/0000-0002-4883-8123</t>
  </si>
  <si>
    <t>10.1016/j.pocean.2006.03.019</t>
  </si>
  <si>
    <t>WOS:000241170000018</t>
  </si>
  <si>
    <t>Kobayashi, T; Suga, T</t>
  </si>
  <si>
    <t>The Indian Ocean HydroBase: A high-quality climatological dataset for the Indian Ocean</t>
  </si>
  <si>
    <t>Indian Ocean; climatological dataset; water mass; circulation; quality control</t>
  </si>
  <si>
    <t>ANTARCTIC INTERMEDIATE WATER; MIXED-LAYER; SEASONAL VARIABILITY; CIRCULATION; MODE; SALINITY; SEA; DYNAMICS; EXCHANGE; BUDGET</t>
  </si>
  <si>
    <t>The present study developed a high-quality climatological dataset for the Indian Ocean - the Indian Ocean Hydro-Base (IOHB) - from a combined dataset including the World Ocean Database 1998 version 2 (WOD98v2). Methods are similar to those used by previous studies for other oceans. Japanese data for the IOHB originated from the Japanese datasets MIRC (Marine Information Research Center) Ocean Dataset 2001 and Far Seas Collection; these datasets contain more Japanese observations than WOD98v2. Water mass properties in the IOHB climatology are consistent with previous studies. Seasonal patterns of properties near the sea surface are well reproduced, and deep-layer properties are consistent with the Reid-Mantyla climatology that is derived from high-quality observations. The isopycnal climatology of the IOHB differs from the World Ocean Atlas 2001 (WOA01) along the fronts associated with the Antarctic Circumpolar Current (ACC). The WOA01 shows a warm and saline intermediate water intrusion from South Africa to the east along the northern edge of the front. Such an intrusion is absent in IOHB where less saline intermediate water extends continuously northward from the southern ocean. The WOA01 shows a continuous belt of low potential vorticity along the ACC. This feature is less distinct in the IOHB climatology and in the Reid-Mantyla climatology. The IOHB consists of a 1 degrees x 1 degrees gridded climatology and the datasets of raw and quality-controlled hydrographic stations. The latter is valuable for quality control of the Argo float salinity data as climatological reference. These datasets are available freely via the Internet. (c) 2005 Elsevier Ltd. All rights reserved.</t>
  </si>
  <si>
    <t>Japan Agcy Marine Earth Sci &amp; Technol, Inst Observat Res Global Change, Yokosuka, Kanagawa 2370061, Japan; Tohoku Univ, Grad Sch Sci, Dept Geophys, Sendai, Miyagi 980, Japan</t>
  </si>
  <si>
    <t>Japan Agency for Marine-Earth Science &amp; Technology (JAMSTEC); Tohoku University</t>
  </si>
  <si>
    <t>Japan Agcy Marine Earth Sci &amp; Technol, Inst Observat Res Global Change, 2-15 Natsushima Cho, Yokosuka, Kanagawa 2370061, Japan.</t>
  </si>
  <si>
    <t>taiyok@jamstec.go.jp</t>
  </si>
  <si>
    <t>Suga, Toshio/C-2708-2009</t>
  </si>
  <si>
    <t>Suga, Toshio/0000-0003-4219-6155; Kobayashi, Taiyo/0000-0001-6456-6167</t>
  </si>
  <si>
    <t>10.1016/j.pocean.2005.07.001</t>
  </si>
  <si>
    <t>005JC</t>
  </si>
  <si>
    <t>WOS:000234817400003</t>
  </si>
  <si>
    <t>González, JM; Whitman, WB</t>
  </si>
  <si>
    <t>Dworkin, M; Falkow, S; Rosenberg, E; Schleifer, KH; Stackebrandt, E</t>
  </si>
  <si>
    <t>Gonzalez, Jose M.; Whitman, William B.</t>
  </si>
  <si>
    <t>Oceanospirillum and Related Genera</t>
  </si>
  <si>
    <t>PROKARYOTES: A HANDBOOK ON THE BIOLOGY OF BACTERIA, VOL 6, THIRD EDITION: PROTEOBACTERIA: GAMMA SUBCLASS</t>
  </si>
  <si>
    <t>16S RIBOSOMAL-RNA; ANTARCTIC SEA-ICE; SP-NOV; MARINE BACTERIUM; GEN. NOV.; SP. NOV.; MARINOBACTER-HYDROCARBONOCLASTICUS; PHYLOGENETIC-RELATIONSHIPS; PSEUDOMONAS-STANIERI; HALOPHILIC BACTERIUM</t>
  </si>
  <si>
    <t>[Gonzalez, Jose M.] Univ La Laguna, Dept Microbiol &amp; Biol Celular, Fac Farm, Tenerife 38071, Spain; [Whitman, William B.] Univ Georgia, Dept Microbiol, Athens, GA 30605 USA</t>
  </si>
  <si>
    <t>Universidad de la Laguna; University System of Georgia; University of Georgia</t>
  </si>
  <si>
    <t>González, JM (corresponding author), Univ La Laguna, Dept Microbiol &amp; Biol Celular, Fac Farm, Tenerife 38071, Spain.</t>
  </si>
  <si>
    <t>Whitman, William/AAC-5896-2020; González, José M./C-3333-2013</t>
  </si>
  <si>
    <t>González, José M./0000-0002-9926-3323</t>
  </si>
  <si>
    <t>233 SPRING STREET, NEW YORK, NY 10013, UNITED STATES</t>
  </si>
  <si>
    <t>978-0-387-25496-8</t>
  </si>
  <si>
    <t>10.1007/0-387-30746-x_33</t>
  </si>
  <si>
    <t>10.1007/0-387-30746-X</t>
  </si>
  <si>
    <t>BKK09</t>
  </si>
  <si>
    <t>WOS:000268343700033</t>
  </si>
  <si>
    <t>Bowman, JP</t>
  </si>
  <si>
    <t>Bowman, John P.</t>
  </si>
  <si>
    <t>The Genus Psychrobacter</t>
  </si>
  <si>
    <t>ANTARCTIC SEA-ICE; SP-NOV.; MORAXELLA-PHENYLPYRUVICA; PSYCHROPHILIC BACTERIA; PHYLOGENETIC ANALYSIS; MICROBIAL DIVERSITY; IMMOBILIS INFECTION; NUMERICAL TAXONOMY; SEQUENCE-ANALYSIS; ECOLOGICAL NICHE</t>
  </si>
  <si>
    <t>Sch Agr Sci, Australian Food Safety Ctr Excellence, Hobart, Tas 7001, Australia</t>
  </si>
  <si>
    <t>University of Tasmania</t>
  </si>
  <si>
    <t>Bowman, JP (corresponding author), Sch Agr Sci, Australian Food Safety Ctr Excellence, Hobart, Tas 7001, Australia.</t>
  </si>
  <si>
    <t>Bowman, John P/C-2414-2014; Bowman, John P./ABF-5108-2020</t>
  </si>
  <si>
    <t>Bowman, John P/0000-0002-4528-9333; Bowman, John P./0000-0002-4528-9333</t>
  </si>
  <si>
    <t>10.1007/0-387-30746-x_35</t>
  </si>
  <si>
    <t>WOS:000268343700035</t>
  </si>
  <si>
    <t>Kim, S</t>
  </si>
  <si>
    <t>A multitransition CO study in the 30 Doradus complex in the Large Magellanic Cloud</t>
  </si>
  <si>
    <t>PUBLICATIONS OF THE ASTRONOMICAL SOCIETY OF THE PACIFIC</t>
  </si>
  <si>
    <t>ANTARCTIC-SUBMILLIMETER-TELESCOPE; SEST KEY PROGRAM; MOLECULAR CLOUDS; APERTURE SYNTHESIS; EMISSION; REGION; GHZ; NANTEN; STARS; GAS</t>
  </si>
  <si>
    <t>We have made a multitransition CO study of the largest H II complex, the 30 Doradus nebula, in the Large Magellanic Cloud (LMC). This is the most luminous example of a starburst region in the Local Group. We have searched for (CO)-C-12 J = 7 --&gt; 6 emission toward the 30 Doradus complex with the Antarctic Submillimeter Telescope and Remote Observatory (AST/RO), located at 2847 m altitude at the Amundsen-Scott South Pole Station. As a result, we have detected a (CO)-C-12 J = 7 --&gt; 6 emitting cloud near the 30 Doradus complex. The (CO)-C-12 J = 7 --&gt; 6/(CO)-C-12 J = 4 --&gt; 3 line temperature ratio in this region is approximately a factor of 2 higher than that observed near the Sgr B2 complex. A radiative transfer calculation using the line ratios shows that the core of massive star formation in the LMC is much warmer and denser than that of the Milky Way.</t>
  </si>
  <si>
    <t>Sejong Univ, Dept Astron &amp; Space Sci, Seoul 143747, South Korea</t>
  </si>
  <si>
    <t>Sejong University</t>
  </si>
  <si>
    <t>Kim, S (corresponding author), Sejong Univ, Dept Astron &amp; Space Sci, KunJa Dong 98, Seoul 143747, South Korea.</t>
  </si>
  <si>
    <t>skim@arcsec.sejong.ac.kr</t>
  </si>
  <si>
    <t>UNIV CHICAGO PRESS</t>
  </si>
  <si>
    <t>CHICAGO</t>
  </si>
  <si>
    <t>1427 E 60TH ST, CHICAGO, IL 60637-2954 USA</t>
  </si>
  <si>
    <t>0004-6280</t>
  </si>
  <si>
    <t>PUBL ASTRON SOC PAC</t>
  </si>
  <si>
    <t>Publ. Astron. Soc. Pac.</t>
  </si>
  <si>
    <t>10.1086/498355</t>
  </si>
  <si>
    <t>Astronomy &amp; Astrophysics</t>
  </si>
  <si>
    <t>003WE</t>
  </si>
  <si>
    <t>WOS:000234711700008</t>
  </si>
  <si>
    <t>Khokhlov, VN; Glushkov, AV; Loboda, NS</t>
  </si>
  <si>
    <t>On the nonlinear interaction between global teleconnection patterns</t>
  </si>
  <si>
    <t>QUARTERLY JOURNAL OF THE ROYAL METEOROLOGICAL SOCIETY</t>
  </si>
  <si>
    <t>cross-redundancy; Granger causality; teleconnection; wavelet decomposition</t>
  </si>
  <si>
    <t>NORTH-ATLANTIC OSCILLATION; NINO-SOUTHERN OSCILLATION; EL-NINO; ARCTIC OSCILLATION; TIME-SERIES; TEMPERATURE-VARIATIONS; ANTARCTIC OSCILLATION; SURFACE-TEMPERATURE; ENSO; REDUNDANCIES</t>
  </si>
  <si>
    <t>Processes of nonlinear interaction between teleconnection patterns are addressed. Evidence of chaotic behaviour for the relationship between the Arctic Oscillation (AO), the Southern Oscillation (SO), and the Antarctic Oscillation (AAO) is examined using cross-redundancy and Granger causality. The analysis is carried out for three epochs of the twentieth century, during which different trends of global temperature were observed. To study the influence of low-frequency variations, a wavelet decomposition is applied. Presented results display many well-known features of feedbacks between climate change and observed trends in the indices of teleconnection patterns. By using wavelet detail components, some behaviour is revealed as being particularly pure. At the same time, some findings require considerable further work, especially the apparent nonlinear interaction between the AO and the AAO. Our results are encouraging for the prospects of a useful model describing climate changes at the decadal and centurial time-scales.</t>
  </si>
  <si>
    <t>Odessa State Environm Univ, Hydrometeorol Inst, UA-65016 Odessa, Ukraine</t>
  </si>
  <si>
    <t>Ministry of Education &amp; Science of Ukraine; Odessa State Environmental University</t>
  </si>
  <si>
    <t>Odessa State Environm Univ, Hydrometeorol Inst, 15 Lvovskaya Str, UA-65016 Odessa, Ukraine.</t>
  </si>
  <si>
    <t>vkliokhlov@ukr.net</t>
  </si>
  <si>
    <t>Khokhlov, Valeriy N/C-4148-2011; Khokhlov, Valeriy/G-9024-2018; Glushkov, Habil. Dr., Prof. Alexander V./C-9804-2018</t>
  </si>
  <si>
    <t>Khokhlov, Valeriy/0000-0001-8315-8636; Glushkov, Habil. Dr., Prof. Alexander V./0000-0001-7192-791X</t>
  </si>
  <si>
    <t>0035-9009</t>
  </si>
  <si>
    <t>1477-870X</t>
  </si>
  <si>
    <t>Q J ROY METEOR SOC</t>
  </si>
  <si>
    <t>Q. J. R. Meteorol. Soc.</t>
  </si>
  <si>
    <t>10.1256/qj.05.05</t>
  </si>
  <si>
    <t>031IL</t>
  </si>
  <si>
    <t>WOS:000236697900010</t>
  </si>
  <si>
    <t>Yoo, KC; Yoon, HI; Park, BK; Kim, Y</t>
  </si>
  <si>
    <t>Advance of the outlet glaciers during regional warming as inferred from Late Holocene massive diamicton in the King George Island fjords, the South Shetland Islands, West Antarctica</t>
  </si>
  <si>
    <t>QUATERNARY RESEARCH</t>
  </si>
  <si>
    <t>massive diamicton; South Shetland Islands; regional warming; glacial advance</t>
  </si>
  <si>
    <t>JAMES-ROSS-ISLAND; MAXWELL-BAY; ICE-SHEET; FORAMINIFERAL ASSEMBLAGES; SURFACE SEDIMENTS; LATE PLEISTOCENE; ATLANTIC SECTOR; MARIAN-COVE; SEA; PENINSULA</t>
  </si>
  <si>
    <t>Marine sediment cores were obtained from in front of the tidewater glaciers in the Marian and Potter coves in the South Shetland Islands in the austral summer of 2001-2002. Sedimentological, paleontological and geochemical data from these cores document an advance of ice tongue for the deposition of clast-supported, massive diamicton, interpreted as having been produced by ice rafting in front of glacier margin and/or releasing of clasts from basal debris zones in the sub-ice tongue setting. A C-14 chronology for a core indicates that glacial advance took place c. 1450-1700 C-14 yr B.P., coincident with warm, humid phase in the study area. During this period, the glacier margin was likely to have advanced and released diamicton clasts, as inferred from a reduction in the total organic carbon content, and an increase in sand and clasts within the diamicton facies. The glacial advance probably caused enhanced ice-edge blooms near the core sites, resulting in increased abundance of sea-ice related diatoms, i.e., Fragilariopsis curta and Fragilariopsis cylindrus in the diamicton. The warm and humid conditions between 1450 and 1700 C-14 yr B.P. might have allowed the intrusion of warm Antarctic circumpolar water within the fjords, bringing about increased abundance of warm-water form, i.e., Fragilariopsis kerguelensis. On the other hand, this warming condition probably prohibited the intrusion of Weddell Ice shelf water from the fjord, as evidenced by lack of cold-water form, Thalassiosira antarctica, in the diamicton. Clearly, the response of the outlet glacier system along the periphery of the South Shetland Islands Ice Sheet during the Late Holocene warm, humid period (1450-1700 C-14 yr B.P.) was expansion. Thus, the process of clast-supported massive diamicton formation is likely to be applicable to a number of areas of the modem and late Quaternary Antarctic Peninsula. (c) 2005 University of Washington. All rights reserved.</t>
  </si>
  <si>
    <t>Korea Ocean Res &amp; Dev Inst, Polar Res Inst, Seoul 425600, South Korea</t>
  </si>
  <si>
    <t>Korea Institute of Ocean Science &amp; Technology (KIOST)</t>
  </si>
  <si>
    <t>Yoon, HI (corresponding author), Korea Ocean Res &amp; Dev Inst, Polar Res Inst, Ansan POB 29, Seoul 425600, South Korea.</t>
  </si>
  <si>
    <t>hiyoon@kordi.re.kr</t>
  </si>
  <si>
    <t>Yoo, Kyu-Cheul/0000-0002-6186-7535</t>
  </si>
  <si>
    <t>ACADEMIC PRESS INC ELSEVIER SCIENCE</t>
  </si>
  <si>
    <t>SAN DIEGO</t>
  </si>
  <si>
    <t>525 B ST, STE 1900, SAN DIEGO, CA 92101-4495 USA</t>
  </si>
  <si>
    <t>0033-5894</t>
  </si>
  <si>
    <t>QUATERNARY RES</t>
  </si>
  <si>
    <t>Quat. Res.</t>
  </si>
  <si>
    <t>10.1016/j.yqres.2005.07.002</t>
  </si>
  <si>
    <t>003PF</t>
  </si>
  <si>
    <t>WOS:000234693400006</t>
  </si>
  <si>
    <t>Landais, A; Barnola, JM; Kawamura, K; Caillon, N; Delmotte, M; Van Ommen, T; Dreyfus, G; Jouzel, J; Masson-Delmotte, V; Minster, B; Freitag, J; Leuenberger, M; Schwander, J; Huber, C; Etheridge, D; Morgan, V</t>
  </si>
  <si>
    <t>Firn-air δ15N in modern polar sites and glacial-interglacial ice:: a model-data mismatch during glacial periods in Antarctica?</t>
  </si>
  <si>
    <t>QUATERNARY SCIENCE REVIEWS</t>
  </si>
  <si>
    <t>ABRUPT CLIMATE-CHANGE; DRONNING MAUD LAND; TRAPPED AIR; AGE DIFFERENCE; LAW DOME; CORE; VOSTOK; RECORD; VARIABILITY; SUMMIT</t>
  </si>
  <si>
    <t>The phase lag between atmospheric composition (air bubbles) and temperature (water isotopes) can be quantified from ice cores provided that the age difference between entrapped air and the Surrounding air can be correctly estimated. This difference depends on the lock-in depth (LID), when air no longer mixes with the atmosphere. The LID can be estimated from firnification models or from the air isotopic composition (delta(15)N and delta(40)Ar). Both methods give consistent results for Greenland and one coastal site in Antarctica (Byrd). New firn measurements in Greenland (NorthGRIP) and Antarctica (Berkner Island, BAS depot, Dome C) confirm that firnification models correctly reproduce the present LID over a large range of surface conditions. However, a systematic mismatch is observed for the Last Glacial Maximum (LGM) in East Antarctic sites (Vostok, Dome C, Dome F) questioning the model's validity. Here we use new delta(15)N measurements from two coastal Antarctic sites (Kohnen Station and Law Dome) providing depth estimates again distinct from firnification model calculations. We show that this discrepancy can be resolved by revising the estimate of past accumulation rates. delta(15)N measurements can therefore help to constrain past accumulation rate and improve ice core dating. (c) 2005 Elsevier Ltd. All rights reserved.</t>
  </si>
  <si>
    <t>CEA, CNRS, IPSL, LSCE, F-91198 Gif Sur Yvette, France; Hebrew Univ Jerusalem, Inst Earth Sci, IL-93183 Jerusalem, Israel; CNRS, LGGE, F-38042 Grenoble, France; Tohoku Univ, Ctr Atmospher &amp; Ocean Studies, Sendai, Miyagi 9808578, Japan; Antarctic Climate &amp; Ecosyst Cooperat Res Ctr, Hobart, Tas 7001, Australia; Australian Antarctic Div, Hobart, Tas 7001, Australia; Princeton Univ, Dept Geosci, Princeton, NJ 08544 USA; AWI Bremerhaven, Bremerhaven, Germany; Univ Bern, Inst Phys, CH-3012 Bern, Switzerland; CSIRO, Div Atmospher Res, Aspendale, Vic 3195, Australia</t>
  </si>
  <si>
    <t>Universite Paris Saclay; CEA; Centre National de la Recherche Scientifique (CNRS); Universite Paris Cite; Hebrew University of Jerusalem; Communaute Universite Grenoble Alpes; Universite Grenoble Alpes (UGA); Centre National de la Recherche Scientifique (CNRS); Tohoku University; Antarctic Climate &amp; Ecosystems Cooperative Research Centre (ACE CRC); Australian Antarctic Division; Princeton University; Helmholtz Association; Alfred Wegener Institute, Helmholtz Centre for Polar &amp; Marine Research; University of Bern; Commonwealth Scientific &amp; Industrial Research Organisation (CSIRO)</t>
  </si>
  <si>
    <t>CEA, CNRS, IPSL, LSCE, F-91198 Gif Sur Yvette, France.</t>
  </si>
  <si>
    <t>landais@vms.huji.ac.il</t>
  </si>
  <si>
    <t>Masson-Delmotte, Valerie L/G-1995-2011; Leuenberger, Markus C/K-9655-2016; Etheridge, David M/B-7334-2013; Kawamura, Kenji/C-7660-2011; Caillon, Nicolas/B-7127-2019; van Ommen, Tas/B-5020-2012</t>
  </si>
  <si>
    <t>Masson-Delmotte, Valerie L/0000-0001-8296-381X; Leuenberger, Markus C/0000-0003-4299-6793; Kawamura, Kenji/0000-0003-1163-700X; LANDAIS, Amaelle/0000-0002-5620-5465; Caillon, Nicolas/0000-0002-6318-6194; van Ommen, Tas/0000-0002-2463-1718; Huber, Christof/0000-0001-5767-045X; Etheridge, David/0000-0001-7970-2002</t>
  </si>
  <si>
    <t>0277-3791</t>
  </si>
  <si>
    <t>QUATERNARY SCI REV</t>
  </si>
  <si>
    <t>Quat. Sci. Rev.</t>
  </si>
  <si>
    <t>10.1016/j.quascirev.2005.06.007</t>
  </si>
  <si>
    <t>007PZ</t>
  </si>
  <si>
    <t>WOS:000234983000004</t>
  </si>
  <si>
    <t>Hodgson, DA; Verleyen, E; Squier, AH; Sabbe, K; Keely, BJ; Saunders, KM; Vyverman, W</t>
  </si>
  <si>
    <t>Interglacial environments of coastal east Antarctica: comparison of MIS 1 (Holocene) and MIS 5e (Last Interglacial) lake-sediment records</t>
  </si>
  <si>
    <t>LARSEMANN HILLS; DIATOM FLORA; SALINE LAKES; MICROBIAL COMMUNITY; FOSSIL PIGMENTS; AGE CALIBRATION; RAUER ISLANDS; ICE-FREE; CLIMATE; DEGLACIATION</t>
  </si>
  <si>
    <t>We reconstruct terrestrial and freshwater environments of the last two Quaternary interglacials in coastal east Antarctica by examining multi-proxy evidence in a lake sediment core. The record, from Progress Lake in the Larsemann Hills consists of two discrete sediment units. The lower unit contains the first known evidence of Antarctic coastal environments during a previous interglacial, likely to be MIS5e. Biogeochemical, biological and sedimentological climate proxies revealed a productive biological community and an active hydrological regime, consistent with the warmer conditions detected in continental ice cores at this time. The diatom assemblage was similar to that currently found in the sub- and maritime-Antarctic biome and included some sub-Antarctic endemic taxa that have not previously been reported from east Antarctica. This suggests southward expansion of the sub-Antarctic diatom biome during MIS5e. Mosses were also present in the lake or the catchment but are rare in the region today. Two discrete periods of enhanced productivity show that the MIS5e environment was not stable. MIS5e ended abruptly with a rapid transition to glacial conditions, the lake was covered by a layer of firnified snow and ice, and phototrophic biological activity ceased for a period of c. 90,000 years. The upper unit was deposited in MIS1 after 3470-3687 cal yr BP after phototrophic biological production resumed. Lower species diversity, pigment production, an Antarctic continental diatom assemblage and an absence of moss layers suggest cooler conditions during MIS1. (c) 2005 Elsevier Ltd. All rights reserved.</t>
  </si>
  <si>
    <t>Natl Environm Res Council, British Antarctic Survey, Cambridge CB3 0ET, England; Univ Ghent, Lab Protistol &amp; Aquat Ecol, B-9000 Ghent, Belgium; Univ York, Dept Chem, York YO10 5DD, N Yorkshire, England; Univ Tasmania, Inst Antarctic &amp; So Ocean Studies, Hobart, Tas 7001, Australia</t>
  </si>
  <si>
    <t>UK Research &amp; Innovation (UKRI); Natural Environment Research Council (NERC); NERC British Antarctic Survey; Ghent University; University of York - UK; University of Tasmania</t>
  </si>
  <si>
    <t>Natl Environm Res Council, British Antarctic Survey, High Cross,Madingley Rd, Cambridge CB3 0ET, England.</t>
  </si>
  <si>
    <t>daho@pcmail.nerc-bas.ac.uk</t>
  </si>
  <si>
    <t>Dasseville, Renaat/B-3561-2010; Saunders, Krystyna/G-1368-2019</t>
  </si>
  <si>
    <t>Saunders, Krystyna/0000-0002-6800-2630; Keely, Brendan John/0000-0002-8560-1862</t>
  </si>
  <si>
    <t>NERC [bas010016] Funding Source: UKRI; Natural Environment Research Council [bas010016] Funding Source: researchfish</t>
  </si>
  <si>
    <t>10.1016/j.quascirev.2005.03.004</t>
  </si>
  <si>
    <t>WOS:000234983000011</t>
  </si>
  <si>
    <t>Vetter, W; Gleixner, G</t>
  </si>
  <si>
    <t>Vetter, Walter; Gleixner, Gerd</t>
  </si>
  <si>
    <t>Compound-specific stable carbon isotope ratios (δ13C values) of the halogenated natural product 2,3,3′,4,4′,5,5′-heptachloro-1′-methyl-1,2′-bipyrrole (Q1)</t>
  </si>
  <si>
    <t>RAPID COMMUNICATIONS IN MASS SPECTROMETRY</t>
  </si>
  <si>
    <t>GAS-CHROMATOGRAPHY; ORGANOHALOGEN COMPOUNDS; MASS-SPECTROMETRY; ORGANOCHLORINE; MIXTURES; CHLORINE; SEAL</t>
  </si>
  <si>
    <t>Compound-specific isotope analysis using gas chromatography interfaced to isotope ratio mass spectrometry (GC/IRMS) was applied for the determination of delta C-13 values of the marine halogenated natural product 2,3,3',4,4',5,5'-heptachloro-1'-methyl-1,2'(..)bipyrrole (Q1) The delta C-13 value of a labmade Q1 standard (-34.20 +/- 0.27 parts per thousand) was depleted in C-13 by more than 11 parts per thousand relative to the residues of Q1 in dolphin blubber from Australia and skua liver from Antarctica. This clarified that the synthesized Q1 was not the source for Q1 in the biota samples. However, two Australian marine mammals showed a large variation in the delta C-13 value, which, in our experience, was implausible. Since the GC/IRMS system was connected to a conventional ion trap mass spectrometer by a post-column splitter, we were able to closely inspect the peak purity of Q1 in the respective samples. While the mass spectra of Q1 did not indicate any impurity, a fronting peak of PCB 101 was identified in one sample. This interference falsified the delta C-13 value of the respective sample. Once this sample was excluded, we found that the delta C-13 values of the remaining samples, i.e. liver of Antarctic brown skua (-21.47 +/- 1.47 parts per thousand) and blubber of Australian melon-headed whale (-22.80 +/- 0.33 parts per thousand), were in the same order. The standard deviation for Q1 was larger in the skua samples than in the standard and the whale blubber sample. This was due to lower amounts of skua sample available. It remained unclear if the Q1 residues originate from the same producer and location. Copyright (c) 2006 John Wiley &amp; Sons, Ltd.</t>
  </si>
  <si>
    <t>Univ Hohenheim, Inst Food Chem, D-70593 Stuttgart, Germany; Max Planck Inst Biogeochem, D-07701 Jena, Germany</t>
  </si>
  <si>
    <t>University Hohenheim; Max Planck Society</t>
  </si>
  <si>
    <t>Vetter, W (corresponding author), Univ Hohenheim, Inst Food Chem, Garbenstr 28, D-70593 Stuttgart, Germany.</t>
  </si>
  <si>
    <t>w-vetter@uni-hohenheim.de</t>
  </si>
  <si>
    <t>Gleixner, Gerd/M-8519-2017; Gleixner, Gerd/O-4215-2019</t>
  </si>
  <si>
    <t>Gleixner, Gerd/0000-0002-4616-0953; Gleixner, Gerd/0000-0002-4616-0953</t>
  </si>
  <si>
    <t>JOHN WILEY &amp; SONS LTD</t>
  </si>
  <si>
    <t>CHICHESTER</t>
  </si>
  <si>
    <t>THE ATRIUM, SOUTHERN GATE, CHICHESTER PO19 8SQ, W SUSSEX, ENGLAND</t>
  </si>
  <si>
    <t>0951-4198</t>
  </si>
  <si>
    <t>RAPID COMMUN MASS SP</t>
  </si>
  <si>
    <t>Rapid Commun. Mass Spectrom.</t>
  </si>
  <si>
    <t>10.1002/rcm.2686</t>
  </si>
  <si>
    <t>Biochemical Research Methods; Chemistry, Analytical; Spectroscopy</t>
  </si>
  <si>
    <t>Biochemistry &amp; Molecular Biology; Chemistry; Spectroscopy</t>
  </si>
  <si>
    <t>095TZ</t>
  </si>
  <si>
    <t>WOS:000241332500003</t>
  </si>
  <si>
    <t>Horne, RB; Meredith, NP; Glauert, SA; Varotsou, A; Boscher, D; Thorne, RM; Shprits, YY; Anderson, RR</t>
  </si>
  <si>
    <t>Tsurutani, B; McPherron, R; Gonzalez, W; Lu, G; Sobral, JHA; Gopalswamy, N</t>
  </si>
  <si>
    <t>Horne, Richard B.; Meredith, Nigel P.; Glauert, Sarah A.; Varotsou, Athina; Boscher, Daniel; Thorne, Richard M.; Shprits, Yuri Y.; Anderson, Roger R.</t>
  </si>
  <si>
    <t>Mechanisms for the acceleration of radiation belt electrons</t>
  </si>
  <si>
    <t>RECURRENT MAGNETIC STORMS: COROTATING SOLAR WIND STREAMS</t>
  </si>
  <si>
    <t>Geophysical Monograph Book Series</t>
  </si>
  <si>
    <t>America-Geophysical-Union-Chapman Conference</t>
  </si>
  <si>
    <t>FEB 06-12, 2005</t>
  </si>
  <si>
    <t>Manaus, BRAZIL</t>
  </si>
  <si>
    <t>EARTHS INNER MAGNETOSPHERE; 1-2 MAGNETIC PULSATIONS; ION-CYCLOTRON WAVES; MODE CHORUS WAVES; SOLAR-WIND SPEED; RELATIVISTIC ELECTRONS; ENERGETIC ELECTRONS; GEOMAGNETIC STORMS; EQUATORIAL MAGNETOSPHERE; SEMIANNUAL VARIATION</t>
  </si>
  <si>
    <t>During the declining phase of the solar cycle fast solar wind streams produce corotating interaction regions (CIRs) that drive moderate geomagnetic storms. These storms often have an unusually long recovery phase and produce high fluxes of relativistic electrons. Here we investigate the physical mechanisms responsible for accelerating electrons to relativistic energies inside the outer radiation belt. We review the most important electron acceleration and loss mechanisms, and present global simulations that combine radial diffusion with acceleration and loss by whistler mode chorus waves. We show that acceleration by chorus waves alone can increase the -MeV electron phase space density between 4.5 &lt; L &lt; 6.5 by up to three orders of magnitude. When radial diffusion and wave acceleration are included accelerated electrons are transported both inwards and outwards and increase the phase space density by a factor of 10 between 3.5 &lt; L &lt; 7. At lower energies of similar to 0.1 to a few hundred keV, chorus waves cause electron precipitation that enhances inward radial diffusion. We conclude that chorus wave acceleration and loss play a major role in the dynamics of the outer radiation belt. We suggest that during the declining phase of the solar cycle Alfvenic wave activity in the fast solar wind provides continuous inward transport of similar to 1-100 keV electrons inside the magnetosphere which maintains whistler mode wave power long enough to accelerate electrons up to similar to MeV energies, and drives radial diffusion to fill up the entire outer radiation belt.</t>
  </si>
  <si>
    <t>British Antarctic Survey, Cambridge CB3 0ET, England</t>
  </si>
  <si>
    <t>Horne, RB (corresponding author), British Antarctic Survey, Cambridge CB3 0ET, England.</t>
  </si>
  <si>
    <t>Meredith, Nigel P/C-5806-2018; Gopalswamy, Nat/D-3659-2012; Shprits, Yuri Y/I-2174-2014; Horne, Richard B/U-3764-2019</t>
  </si>
  <si>
    <t>Horne, Richard B/0000-0002-0412-6407; Meredith, Nigel/0000-0001-5032-3463; Shprits, Yuri/0000-0002-9625-0834</t>
  </si>
  <si>
    <t>NERC [bas010022] Funding Source: UKRI</t>
  </si>
  <si>
    <t>AMER GEOPHYSICAL UNION</t>
  </si>
  <si>
    <t>2000 FLORIDA AVE NW, WASHINGTON, DC 20009 USA</t>
  </si>
  <si>
    <t>0065-8448</t>
  </si>
  <si>
    <t>978-0-87590-432-0</t>
  </si>
  <si>
    <t>GEOPHYS MONOGR SER</t>
  </si>
  <si>
    <t>10.1029/167GM14</t>
  </si>
  <si>
    <t>BFX14</t>
  </si>
  <si>
    <t>WOS:000245238200012</t>
  </si>
  <si>
    <t>Espy, PJ; Hartogh, P; Holmén, K</t>
  </si>
  <si>
    <t>Slusser, JR; Schafer, K; Comeron, A</t>
  </si>
  <si>
    <t>Espy, Patrick J.; Hartogh, Paul; Holmen, Kim</t>
  </si>
  <si>
    <t>A microwave radiometer for the remote sensing of nitric oxide and ozone in the middle atmosphere</t>
  </si>
  <si>
    <t>Remote Sensing of Clouds and the Atmosphere XI</t>
  </si>
  <si>
    <t>PROCEEDINGS OF THE SOCIETY OF PHOTO-OPTICAL INSTRUMENTATION ENGINEERS (SPIE)</t>
  </si>
  <si>
    <t>Conference on Remote Sensing of Clouds and the Atmosphere XI</t>
  </si>
  <si>
    <t>SEP 11-14, 2006</t>
  </si>
  <si>
    <t>Stockholm, SWEDEN</t>
  </si>
  <si>
    <t>radiometer; microwave; nitric oxide; ozone; middle atmosphere; remote sensing</t>
  </si>
  <si>
    <t>NITROGEN; CLIMATE; CO; TEMPERATURE; DESCENT</t>
  </si>
  <si>
    <t>Nitric oxide, which reacts catalytically to destroy ozone, can be produced in great abundance in the middle atmosphere during energetic particle precipitation triggered by solar storms. During the Antarctic winter, the strong polar vortex can rapidly transport nitric oxide downward, and this process has been identified as a mechanism that can link ozone recovery in,the upper stratosphere with solar activity. As part of the Sun Earth Connection programme at the British Antarctic Survey (BAS), a new, state-of-the-art microwave radiometer is being developed in collaboration with the MaxPlanck Institute (MPI) and the Norwegian Polar Institute (NPI) to simultaneously measure profiles of ozone and nitric oxide between 30 and 80 km deep within the Antarctic polar vortex. Operating in the 250 GHz spectral region, the semi-autonomous instrument will be coupled to moderate- and high-resolution chirp spectrometers to provide simultaneous spectra of the nitric oxide and ozone. In addition, a second local oscillator will be used to periodically examine carbon monoxide at 230.538 GHz to infer the vertical descent rate within the Antarctic vortex. Here, we present the science rationale for the observation programme as well as the instrument specifications, design and performance.</t>
  </si>
  <si>
    <t>Espy, PJ (corresponding author), British Antarctic Survey, High Cross,Madingley Rd, Cambridge CB3 0ET, England.</t>
  </si>
  <si>
    <t>978-0-8194-6457-6</t>
  </si>
  <si>
    <t>P SOC PHOTO-OPT INS</t>
  </si>
  <si>
    <t>U158</t>
  </si>
  <si>
    <t>U166</t>
  </si>
  <si>
    <t>10.1117/12.688953</t>
  </si>
  <si>
    <t>Instruments &amp; Instrumentation; Meteorology &amp; Atmospheric Sciences; Remote Sensing</t>
  </si>
  <si>
    <t>BFQ80</t>
  </si>
  <si>
    <t>WOS:000243894900015</t>
  </si>
  <si>
    <t>Meinander, O; Torres, C; Lakkala, K; Koskela, T; Redondas, A; Cuevas, E; Deferrari, G; Tanskanen, A</t>
  </si>
  <si>
    <t>Meinander, Outi; Torres, Carlos; Lakkala, Kaisa; Koskela, Tapam; Redondas, Alberto; Cuevas, Emilio; Deferrari, Guillermo; Tanskanen, Aapo</t>
  </si>
  <si>
    <t>Calibrating six years of multiband UV measurements at Ushuaia and Marambio for model and satellite comparisons</t>
  </si>
  <si>
    <t>multiband filter radiometer; NILU-UV; Antarctic; UV network; OMI</t>
  </si>
  <si>
    <t>ULTRAVIOLET IRRADIANCE; QUALITY-ASSURANCE</t>
  </si>
  <si>
    <t>An Antarctic UV-monitoring network established in 1999 as a Spanish-Finnish-Argentinian co-operation consists of multiband filter radiometers located at Belgrano, Marambio, and Ushuaia. To provide with quality controlled and assured calibrated groundbased Antarctic UV data, bi-weekly lamp tests were used on every site and visits of travelling reference instruments on two of the sites. Along the six years of operation, the sensitivity in some of the instrument channels was found to drift up to 61 %. In both stations, always the same channels showed the best stability or worst instability. The rigorous quality assurance programme ensured that reliable time series of solar data could be produced, however. The most recent Antarctic ozone depletion period of 2005/2006 was studied by comparing OMI satellite-based erythemally weighted daily doses with the measured polynomial corrected data for August 2005 - March 2006 for Ushuaia and Marambio. The root mean square (RMS) of difference between the groundbased and satellite-retrieved daily doses was on monthly basis smaller for Ushuaia (19 - 28 %) than for Marambio (17 - 58 %), possibly due to e.g. bigger heterogeneity of the ground albedo, and variability of the cloudiness. Our final task of combining the polynomial corrected lamp calibration factors and the traveling reference calibration factors, to produce the final calibrated Antartic UV data, is discussed, too.</t>
  </si>
  <si>
    <t>Finnish Meteorol Inst, Earth Observ, FI-00101 Helsinki, Finland</t>
  </si>
  <si>
    <t>Finnish Meteorological Institute</t>
  </si>
  <si>
    <t>Meinander, O (corresponding author), Finnish Meteorol Inst, Earth Observ, POB 503, FI-00101 Helsinki, Finland.</t>
  </si>
  <si>
    <t>Redondas, Alberto/L-9299-2015; Meinander, Outi I/M-8589-2014; Torres, Carlos/L-9035-2018; Cuevas, Emilio/L-2109-2013; Lakkala, Kaisa/AAN-4342-2020; Meinander, Outi/AAN-1460-2020</t>
  </si>
  <si>
    <t>Redondas, Alberto/0000-0002-4826-6823; Torres, Carlos/0000-0002-5382-8835; Cuevas, Emilio/0000-0003-1843-8302; Lakkala, Kaisa/0000-0003-2840-1132; Meinander, Outi/0000-0001-6608-3951</t>
  </si>
  <si>
    <t>U583</t>
  </si>
  <si>
    <t>U593</t>
  </si>
  <si>
    <t>10.1117/12.688293</t>
  </si>
  <si>
    <t>WOS:000243894900058</t>
  </si>
  <si>
    <t>Smolskaia, I; Wuttke, S; Seckmeyer, G; Michael, K</t>
  </si>
  <si>
    <t>Smolskaia, I.; Wuttke, S.; Seckmeyer, G.; Michael, K.</t>
  </si>
  <si>
    <t>Influence of surface reflectivity on radiation in the Antarctic environment</t>
  </si>
  <si>
    <t>REMOTE SENSING OF CLOUDS AND THE ATMOSPHERE XI</t>
  </si>
  <si>
    <t>radiation; surface reflectivity; Antarctica; UV; Monte Carlo; spectral albedo; climate change</t>
  </si>
  <si>
    <t>ERYTHEMAL IRRADIANCE; DAVIS STATION; UV IRRADIANCE; ALBEDO; ULTRAVIOLET; REFLECTANCE; RADIANCE</t>
  </si>
  <si>
    <t>We demonstrate the importance of surface reflectivity for the radiation field in polar regions by a combination of measurements and radiative transfer calculations. Results from measurements of spectral albedo, radiance and irradiance from 280 to 1050 nm at German Neumayer Station in Antarctica in summer 2003/2004 as well as measurements of UV irradiance during summer 1997/1998 at Australian Davis Station, Antarctica are presented. The impact of surface albedo inhomogeneity is investigated by 3-D Monte Carlo modelling. We found that high surface reflectivity in the ultraviolet and visible parts of the spectrum due to the snow covered surface in Antarctica modifies the radiation field considerably compared to mid-latitudes. A change of the spectral reflectivity, which happens as a consequence of climate change will have a large impact in the radiation properties in polar regions and vice versa.</t>
  </si>
  <si>
    <t>[Smolskaia, I.; Seckmeyer, G.] Leibniz Univ Hannover, Inst Meteorol &amp; Climatol, Herrenhaeuser Str 2, D-30419 Hannover, Germany; [Wuttke, S.] Alfred Wegener Inst Polar &amp; Marine Res, D-27570 Bremerhaven, Germany; [Michael, K.] Univ Tasmania, Inst Antarctic &amp; Southern Ocean Studies, Hobart, Tas 7001, Australia</t>
  </si>
  <si>
    <t>Leibniz University Hannover; Helmholtz Association; Alfred Wegener Institute, Helmholtz Centre for Polar &amp; Marine Research; University of Tasmania</t>
  </si>
  <si>
    <t>Smolskaia, I (corresponding author), Leibniz Univ Hannover, Inst Meteorol &amp; Climatol, Herrenhaeuser Str 2, D-30419 Hannover, Germany.</t>
  </si>
  <si>
    <t>Michael, Kelvin/J-7217-2014</t>
  </si>
  <si>
    <t>Michael, Kelvin/0000-0002-5427-7393</t>
  </si>
  <si>
    <t>ASAC [2210]; Antarctic CRC; ANARE in Australia; DFG in Germany</t>
  </si>
  <si>
    <t>ASAC; Antarctic CRC(Australian GovernmentDepartment of Industry, Innovation and ScienceCooperative Research Centres (CRC) Programme); ANARE in Australia; DFG in Germany(German Research Foundation (DFG))</t>
  </si>
  <si>
    <t>This work was supported by ASAC grant 2210, Antarctic CRC, and ANARE in Australia and by DFG in Germany. We especially thank the Alfred-Wegener-Insitute for Polar and Marine Research for their logistic and scientific support.</t>
  </si>
  <si>
    <t>63620V</t>
  </si>
  <si>
    <t>10.1117/12.689693</t>
  </si>
  <si>
    <t>WOS:000243894900019</t>
  </si>
  <si>
    <t>Timchenko, AI; Mardon, AA; Greenspon, JA</t>
  </si>
  <si>
    <t>Shea, MA; Gupta, RK; Menenti, M; Lopez, RA</t>
  </si>
  <si>
    <t>Timchenko, A. I.; Mardon, A. A.; Greenspon, J. A.</t>
  </si>
  <si>
    <t>New approach in the problem of subsurface objects detection using remote sensing technique</t>
  </si>
  <si>
    <t>REMOTE SENSING OF OCEANOGRAPHIC PROCESSES AND LAND SURFACES; SPACE SCIENCE EDUCATION AND OUTREACH</t>
  </si>
  <si>
    <t>remote sensing; buried objects; synthetic aperture radar (SAR) images</t>
  </si>
  <si>
    <t>ANGULAR-CORRELATION FUNCTION; C/X-SAR DATA; EASTERN SAHARA; BIR-SAFSAF; RADAR; SCATTERING; EGYPT</t>
  </si>
  <si>
    <t>This study investigates the problem of detecting buried objects. The work was directed at the processing of synthetic aperture radar (SAR) images. In order to model the scattering of a group of objects embedded in a lossy medium under a rough boundary, we applied the method of Green's functions and extended the Kirchhoff approximation for the case of composed systems. With this model, we studied the radar response in the form of intensity and correlation imaging function and found that the application of the correlation imaging function significantly improves a ratio between the scattered signal from buried objects and the scattering from a rough boundary. As a result, the detection of buried objects can be realized on larger lengths and with stronger roughness of boundary. To reduce the influence of wave decaying in the lossy medium, we introduced a weighting function. Comparison of radar return with and without this weighting function proved the effectiveness of our method. This allowed us to obtain the object's image with a much smaller level of signal, and processing the scattered signal with additional weighting function enabled to estimate the depth at which the objects are buried under the boundary. (c) 2006 COSPAR. Published by Elsevier Ltd. All rights reserved.</t>
  </si>
  <si>
    <t>[Timchenko, A. I.] Natl Acad Sci Ukraine, Inst Radiophys &amp; Elect, Proscura 12, UA-61085 Kharkov, Ukraine; [Mardon, A. A.] Antarctic Inst Canada, Edmonton, AB T6G 2J1, Canada; [Greenspon, J. A.] Stargate Res Lab, Menlo Pk, CA 94025 USA</t>
  </si>
  <si>
    <t>National Academy of Sciences Ukraine; O. Ya. Usikov Institute for Radio Physics &amp; Electronics, National Academy of Sciences of Ukraine</t>
  </si>
  <si>
    <t>Timchenko, AI (corresponding author), Natl Acad Sci Ukraine, Inst Radiophys &amp; Elect, Proscura 12, UA-61085 Kharkov, Ukraine.</t>
  </si>
  <si>
    <t>timchenko@ire.kharkov.ua; mardon@freenet.edmonton.ab.ca</t>
  </si>
  <si>
    <t>10.1016/j.asr.2006.07.003</t>
  </si>
  <si>
    <t>Engineering, Aerospace; Astronomy &amp; Astrophysics; Education, Scientific Disciplines; Geosciences, Multidisciplinary; Meteorology &amp; Atmospheric Sciences; Remote Sensing</t>
  </si>
  <si>
    <t>Engineering; Astronomy &amp; Astrophysics; Education &amp; Educational Research; Geology; Meteorology &amp; Atmospheric Sciences; Remote Sensing</t>
  </si>
  <si>
    <t>BFW08</t>
  </si>
  <si>
    <t>WOS:000245035500011</t>
  </si>
  <si>
    <t>Pérez, PG</t>
  </si>
  <si>
    <t>Perez, Pedro Guibovich</t>
  </si>
  <si>
    <t>Antarctic weapons</t>
  </si>
  <si>
    <t>REVISTA COMPLUTENSE DE HISTORIA DE AMERICA</t>
  </si>
  <si>
    <t>Book Review</t>
  </si>
  <si>
    <t>[Perez, Pedro Guibovich] Pontif Univ Catolica Peru, Lima, Peru</t>
  </si>
  <si>
    <t>Pontificia Universidad Catolica del Peru</t>
  </si>
  <si>
    <t>Pérez, PG (corresponding author), Pontif Univ Catolica Peru, Lima, Peru.</t>
  </si>
  <si>
    <t>1132-8312</t>
  </si>
  <si>
    <t>1988-270X</t>
  </si>
  <si>
    <t>REV COMPLUT HIST AM</t>
  </si>
  <si>
    <t>Rev. Complut. Hist. Am.</t>
  </si>
  <si>
    <t>History</t>
  </si>
  <si>
    <t>V27WD</t>
  </si>
  <si>
    <t>WOS:000215389000016</t>
  </si>
  <si>
    <t>Holovachov, O; Boström, S</t>
  </si>
  <si>
    <t>Holovachov, Oleksandr; Bostrom, Sven</t>
  </si>
  <si>
    <t>Description of Acrobeloides arctowskii sp n. (Rhabditida: Cephalobidae) from King George Island, Antarctica</t>
  </si>
  <si>
    <t>RUSSIAN JOURNAL OF NEMATOLOGY</t>
  </si>
  <si>
    <t>Acrobeloides; Antarctica; Cephalobidae; morphology; new species; SE</t>
  </si>
  <si>
    <t>SOIL; NEMATODES</t>
  </si>
  <si>
    <t>A new species of Acrobeloides, A. arctowskii sp. n., is described from soil around roots of Deschampsia antarctica oil King George Island, South Shetland Islands, Antarctica. The new species adds to the Antarctic terrestrial nematode fauna and resembles most closely A. arenicola Abolafia &amp; Pena-Santiago, 2003 by having acute labial probolae, five incisures in lateral field and an acute colloid tail. It differs front A. arenicola in its longer body (L = 804-1101 mu m vs L = 476-729 mu m), longer post-vulval uterine branch (43-65 mu m vs 24-40 mu m), strongly protruding vulval lips (vs continuous Mill body contour), longer spicules (41-48 mu m vs 24-27 mu m) and longer gubernaculum (21-27 mu m vs 14-15 mu m).</t>
  </si>
  <si>
    <t>Ivan Franko Natl Univ Lviv, Dept Zool, Fac Biol, UA-79005 Lvov, Ukraine; Swedish Museum Nat Hist, Dept Invertebrate Zool, SE-10405 Stockholm, Sweden</t>
  </si>
  <si>
    <t>Ministry of Education &amp; Science of Ukraine; Ivan Franko National University Lviv; Swedish Museum of Natural History</t>
  </si>
  <si>
    <t>Holovachov, O (corresponding author), Ivan Franko Natl Univ Lviv, Dept Zool, Fac Biol, Grushevsky Str 4, UA-79005 Lvov, Ukraine.</t>
  </si>
  <si>
    <t>Holovachov, Oleksandr/0000-0002-4285-0754</t>
  </si>
  <si>
    <t>MYLNEFIELD RESEARCH SERVICES</t>
  </si>
  <si>
    <t>DUNDEE</t>
  </si>
  <si>
    <t>INVERGOWRIE, DUNDEE DD2 5DA, SCOTLAND</t>
  </si>
  <si>
    <t>0869-6918</t>
  </si>
  <si>
    <t>RUSS J NEMATOL</t>
  </si>
  <si>
    <t>Russ. J. Nematol.</t>
  </si>
  <si>
    <t>061VG</t>
  </si>
  <si>
    <t>WOS:000238900500006</t>
  </si>
  <si>
    <t>Drivenes, EA</t>
  </si>
  <si>
    <t>Drivenes, Einar Arne</t>
  </si>
  <si>
    <t>Antarctic challenges. Historical and current perspectives on Otto</t>
  </si>
  <si>
    <t>SCANDINAVIAN JOURNAL OF HISTORY</t>
  </si>
  <si>
    <t>Univ Tromso, Hist Inst, N-9000 Tromso, Norway</t>
  </si>
  <si>
    <t>UiT The Arctic University of Tromso</t>
  </si>
  <si>
    <t>Drivenes, EA (corresponding author), Univ Tromso, Hist Inst, N-9000 Tromso, Norway.</t>
  </si>
  <si>
    <t>einard@sv.uit.no</t>
  </si>
  <si>
    <t>ROUTLEDGE JOURNALS, TAYLOR &amp; FRANCIS LTD</t>
  </si>
  <si>
    <t>2-4 PARK SQUARE, MILTON PARK, ABINGDON OX14 4RN, OXON, ENGLAND</t>
  </si>
  <si>
    <t>0346-8755</t>
  </si>
  <si>
    <t>1502-7716</t>
  </si>
  <si>
    <t>SCAND J HIST</t>
  </si>
  <si>
    <t>Scand. J. Hist.</t>
  </si>
  <si>
    <t>Arts &amp; Humanities Citation Index (A&amp;HCI)</t>
  </si>
  <si>
    <t>122SF</t>
  </si>
  <si>
    <t>WOS:000243246300015</t>
  </si>
  <si>
    <t>Bortoletto, F; D'Alessandro, M; Bonoli, C; Fantinel, D; Giro, E; Magrin, D; Corcione, L; Pelusi, D; Giuliani, C; Di Cianno, A; De Caprio, V; Riva, A</t>
  </si>
  <si>
    <t>Beletic, JE; Beletic, JW; Amico, P</t>
  </si>
  <si>
    <t>Bortoletto, Fabio; D'Alessandro, Maurizio; Bonoli, Carlotta; Fantinel, Daniela; Giro, Enrico; Magrin, Demetrio; Corcione, Leornardo; Pelusi, Danilo; Giuliani, Croce; di Cianno, Amico; de Caprio, Vincenzo; Riva, Alberto</t>
  </si>
  <si>
    <t>The Antarctic NIR/MIR camera AMICA</t>
  </si>
  <si>
    <t>SCIENTIFIC DETECTORS FOR ASTRONOMY 2005: EXPLORERS OF THE PHOTON ODYSSEY</t>
  </si>
  <si>
    <t>Astrophysics and Space Science Library</t>
  </si>
  <si>
    <t>Workshop on Scientific Detectors for Astronomy</t>
  </si>
  <si>
    <t>JUN 19-25, 2005</t>
  </si>
  <si>
    <t>Taormina, ITALY</t>
  </si>
  <si>
    <t>Antarctica; infrared camera; robotic telescope</t>
  </si>
  <si>
    <t>The near/medium infrared camera (AMICA) is expected to be operational in 2007 at the Dome-C site at the Antarctic pole as a result of the cooperation of several Italian institutions (OAMI, OATO, OAPD) led by the Teramo Observatory and the Istituto Nazionale di Astrofisica (INAF). The camera, to be mounted at the Nasmyth focus of the 80 cm IRAIT telescope, will provide the first astronomical data with scientific content from this site both in the near IR (1-5 mu m) and medium IR (5-27 mu m) spectral regions via two independent channels equipped with InSb and SiAs detectors respectively. The goal of this instrument is a direct estimate of the observational quality of this new, highly promising astronomical observational site.</t>
  </si>
  <si>
    <t>[Bortoletto, Fabio; D'Alessandro, Maurizio; Bonoli, Carlotta; Fantinel, Daniela; Giro, Enrico; Magrin, Demetrio] Osserv Astron Padova, INAF, Padua, Italy; [Corcione, Leornardo] Osserv Astron Torino, INAF, Turin, Italy; [Pelusi, Danilo; Giuliani, Croce; di Cianno, Amico] Osservatorio Astron Teramo, INAF, Teramo, Italy; [de Caprio, Vincenzo; Riva, Alberto] Osserv Astron Brera, INAF, Brera, Italy</t>
  </si>
  <si>
    <t>Istituto Nazionale Astrofisica (INAF); University of Padua; Istituto Nazionale Astrofisica (INAF); Istituto Nazionale Astrofisica (INAF); Istituto Nazionale Astrofisica (INAF)</t>
  </si>
  <si>
    <t>bortoletto@pd.astro.it</t>
  </si>
  <si>
    <t>0067-0057</t>
  </si>
  <si>
    <t>1-4020-4329-5</t>
  </si>
  <si>
    <t>ASTROPHYS SPACE SC L</t>
  </si>
  <si>
    <t>10.1007/1-4020-4330-9_82</t>
  </si>
  <si>
    <t>BEK77</t>
  </si>
  <si>
    <t>WOS:000237613100082</t>
  </si>
  <si>
    <t>Davis, RW; Brandon, EAA; Calkins, DG; Loughlin, TR</t>
  </si>
  <si>
    <t>Trites, AW; Atkinson, SK; DeMaster, DP; Fritz, LW; Gelatt, TS; Rea, LD; Wynne, KM</t>
  </si>
  <si>
    <t>Davis, Randall W.; Brandon, Elisif A. A.; Calkins, Donald G.; Loughlin, Thomas R.</t>
  </si>
  <si>
    <t>Female attendance and neonatal pup growth in Steller sea lions (Eumetopias jubatus)</t>
  </si>
  <si>
    <t>SEA LIONS OF THE WORLD</t>
  </si>
  <si>
    <t>Lowell Wakefield Fisheries Symposia Series</t>
  </si>
  <si>
    <t>22nd Lowell Wakefield Fisheries Symposium on Sea Lions of the World</t>
  </si>
  <si>
    <t>SEP 30-OCT 03, 2004</t>
  </si>
  <si>
    <t>Anchorage, AK</t>
  </si>
  <si>
    <t>ANTARCTIC FUR SEALS; MATERNAL INVESTMENT; FORAGING CHARACTERISTICS; FETAL GROWTH; BEHAVIOR; POPULATION; PATTERNS; SURVIVAL; YOUNG; MILK</t>
  </si>
  <si>
    <t>We studied attendance behavior of lactating Steller sea lions (SSL) and the growth rates of pups in Southeast Alaska, the Gulf of Alaska, and the Aleutian Islands from 1990 to 1997. These rookeries included one (Lowrie Island in Southeast Alaska) in an area of stable population and three (Chirikof and Marmot islands in the Gulf of Alaska and Seguam and Yunaska islands in the Aleutian Islands) in areas where the population of SSL has declined significantly over the past 30 years. Radio transmitters were glued to the fur of lactating SSL and their presence on the rookeries monitored for the first four to six weeks postpartum. Newborn pups were weighed and measured every two weeks over the same period. The time spent onshore (22.5 h +/- 8.26 SD) by females did not differ significantly among rookeries. Average foraging trip duration was significantly different among rookeries and ranged from 25.6 h +/- 11.64 SD in the area of stable population to 9.4 h +/- 3.32 SD in the area of declining population. The average percentage of time spent at sea was significantly different among rookeries and ranged from 51% +/- 8.9 SD in the area of stable population to 31% +/- 9.99 SD in the area of declining population. Male pups (22.6 kg +/- 2.21 SD) were significantly heavier than female pups (19.6 kg +/- 1.80 SD) at 1-5 days of age, but there were no significant differences among rookeries at that age. Male and female pups on the same rookery grew at the same rate during the first four to six weeks. Body mass and standard length increased at a faster rate for pups in the Aleutian Islands and the western Gulf of Alaska (0.45-0.48 kg day(-1) and 0.47-0.53 cm day(-1), respectively) than in Southeast Alaska (0.23 kg day(-1) and 0.20 cm day(-1)). Overall, average foraging trip duration among rookeries decreased and pup growth rate increased in an east-to-west direction from the area of stable to declining population. There was no evidence that female sea lions and pups were nutritionally stressed during the first six weeks postpartum in the area of population decline.</t>
  </si>
  <si>
    <t>[Davis, Randall W.; Brandon, Elisif A. A.] Texas A&amp;M Univ, Dept Marine Biol, Galveston, TX 77553 USA; [Calkins, Donald G.] Alaska SeaLife Ctr, Seward, AK USA; [Loughlin, Thomas R.] Alaska Fisheries Sci Ctr, Natl Marine Mammal Lab, Natl Marine Fisheries Serv, Seattle, WA USA</t>
  </si>
  <si>
    <t>Texas A&amp;M University System; National Oceanic Atmospheric Admin (NOAA) - USA</t>
  </si>
  <si>
    <t>Davis, RW (corresponding author), Texas A&amp;M Univ, Dept Marine Biol, Galveston, TX 77553 USA.</t>
  </si>
  <si>
    <t>davisr@tamug.tamu.edu; don_calkins@alaskasealife.org</t>
  </si>
  <si>
    <t>UC Mexus [SC-03-15]; Office of Naval Research [N00014-02-1-1012]; Consejo Nacional de Ciencia y Tecnologa-SEMARNAT [1230]</t>
  </si>
  <si>
    <t>UC Mexus; Office of Naval Research(Office of Naval Research); Consejo Nacional de Ciencia y Tecnologa-SEMARNAT</t>
  </si>
  <si>
    <t>This work was supported by grants from UC Mexus Program SC-03-15 and the Office of Naval Research grant N00014-02-1-1012. We thank J. Alvarez, C. Ansta, M. Higuera, C. Mcknight, M. Rutishauser, S. Simmons, Y. Tremblay, and M. Zamarron for their assistance in the field. All research was approved by the University of California IACUC. Samples were collected under permit No. SGPA/DGVS.0575 from Direccion General de Vida Silvestre (SEMERNAT) and supported by project 1230 by Consejo Nacional de Ciencia y Tecnologia-SEMARNAT.</t>
  </si>
  <si>
    <t>ALASKA SEA GRANT COLL PROGRAM</t>
  </si>
  <si>
    <t>FAIRBANKS</t>
  </si>
  <si>
    <t>UNIV ALASKA FAIRBANKS PO BOX 755040, FAIRBANKS, AK 99775-5040 USA</t>
  </si>
  <si>
    <t>1-56612-105-1</t>
  </si>
  <si>
    <t>LOW WAKE FI</t>
  </si>
  <si>
    <t>Ecology; Fisheries</t>
  </si>
  <si>
    <t>Environmental Sciences &amp; Ecology; Fisheries</t>
  </si>
  <si>
    <t>BES72</t>
  </si>
  <si>
    <t>WOS:000239346700002</t>
  </si>
  <si>
    <t>Campbell, RA; Chilvers, BL; Childerhouse, S; Gales, NJ</t>
  </si>
  <si>
    <t>Campbell, R. A.; Chilvers, B. L.; Childerhouse, S.; Gales, N. J.</t>
  </si>
  <si>
    <t>Conservation management issues and status of the New Zealand (Phocarctos hookeri) and Australian (Neophoca cinerea) sea lion</t>
  </si>
  <si>
    <t>BREEDING CYCLE; FUR SEALS; WESTERN-AUSTRALIA; ABUNDANCE; POPULATION; CALIFORNIA; PUPS; MICROSATELLITES; DIFFERENTIATION; MORTALITY</t>
  </si>
  <si>
    <t>The two antipodean sea lion species are the rarest sea lions in the world. They are relatively similar in abundance and share common conservation management concerns. Recovery from commercial sealing in the eighteenth to twentieth centuries and ongoing interactions with commercial fishing activities are primary concerns. However, there are marked differences in distribution (number of breeding colonies) and life history traits, in particular the variation in breeding cycles and population genetic structure. These factors must be taken into consideration in addressing management concerns and are reflected in the current management actions being taken for both species in regard to interactions with commercial fishing activities.</t>
  </si>
  <si>
    <t>Wetern Australia, Dept Fisheries, North Beach, WA, Australia; [Chilvers, B. L.; Childerhouse, S.] Marine Conservat Unit, Dept Conservat, Wellington, New Zealand; [Gales, N. J.] Australian Antarctic Div, Hobart, Tas, Australia</t>
  </si>
  <si>
    <t>Campbell, RA (corresponding author), Wetern Australia, Dept Fisheries, North Beach, WA, Australia.</t>
  </si>
  <si>
    <t>rcampbell@fish.wa.gov.au; lchilvers@doc.govt.nz</t>
  </si>
  <si>
    <t>Chilvers, B. Louise/AAV-1965-2021</t>
  </si>
  <si>
    <t>Chilvers, B. Louise/0000-0002-7657-4217</t>
  </si>
  <si>
    <t>WOS:000239346700029</t>
  </si>
  <si>
    <t>Pascucci, V; Costantini, A; Martini, IP; Dringoli, R</t>
  </si>
  <si>
    <t>Tectono-sedimentary analysis of a complex, extensional, Neogene basin formed on thrust-faulted, Northern Apennines hinterland: Radicofani Basin, Italy</t>
  </si>
  <si>
    <t>SEDIMENTARY GEOLOGY</t>
  </si>
  <si>
    <t>Gilbert-type delta; Neogene; seismic stratigraphy; extension; Northern Apennines; normal fault linkage; half-graben; thrust-top basin</t>
  </si>
  <si>
    <t>GILBERT-TYPE DELTAS; SEDIMENTARY BASINS; TYRRHENIAN SEA; TOP BASINS; FAN-DELTA; MIOCENE; EVOLUTION; GLACIATION; TUSCANY; CHRONOLOGY</t>
  </si>
  <si>
    <t>Large NW-SE oriented, Neogene-Quaternary structural depressions, LIP to about 200 km long and 25 km wide, have developed oil the western side (hinterland) of the Northern Apennines over thrust substrate. 'file depressions are now, for the most part, laterally bounded by normal faults and are longitudinally separated into basins by transfer zones. A debate exists in the literature as to whether these basins have developed as half-graben under a predominantly extensional regime since late Miocene, or as thrust-top basins under a predominantly compressional regime that has continued until the Pleistocene. The Radicofani Basin is one of the best-preserved basins. It developed mainly during the late Miocene-Early Pliocene in the southern half of the Siena-Radicofani structural depression, and is now bounded oil the east by normal faults that transect a thrust anticline nose in the substrate, to the north by a Substrate high or transfer zone, and to the south and west by Quaternary igneous/volcanic edifices. The basin experienced variable differential tectonic and associated sedimentation along linking, normal boundary faults. Along its eastern margin it shows the development of thick (similar to 600 m) alluvial fans that developed in relay areas between boundary faults and transverse faults and transfer zones. Well-exposed sections generally show upward transitions from conglomeratic alluvial fans, to shoreface sandstone, to offshore mudstones. Locally, the transition is marked by deltas primarily charactetised by thick gravelly, sandy, stacked cross-sets The thicker, sandy-gravel to gravelly-sand cross-sets (5-8 Ill thick) are interpreted as Gilbert-type deltas; interstratified thinner (0.5-1 Ill thick), generally openwork gravelly strata are part of delta topset assemblages and probably represent prograding fluvial bars. Tectonic movements provided the accommodation space for the total, similar to 2700 m thick basin fill. Sea level fluctuations that led to the repeated development of the cross-sets may also have been influenced by climatic or eustatic changes, possibly related to the effects of early Antarctic glaciations. Some features of the Radicotlani Basin call be found in both extensional and compressional basins. However, the position of the basin in the mountain chain and the development of alluvial fans, fandeltas and associated deposits along the main boundary fault, combined with structural evidence from seismic lines, show that during the early Pliocene this basin best conforms to existing models of half-graben. (c) 2005 Elsevier B.V. All rights reserved.</t>
  </si>
  <si>
    <t>Univ Sassari, Ist Sci Geol Mineral, I-07100 Sassari, Italy; Univ Siena, Dipartimento Sci Terra, I-53100 Siena, Italy; Univ Guelph, Dept Land Resource Sci, Guelph, ON N1G 2W1, Canada</t>
  </si>
  <si>
    <t>University of Sassari; University of Siena; University of Guelph</t>
  </si>
  <si>
    <t>Pascucci, V (corresponding author), Univ Sassari, Ist Sci Geol Mineral, Corso Angioy 10, I-07100 Sassari, Italy.</t>
  </si>
  <si>
    <t>pascucci@unisi.it</t>
  </si>
  <si>
    <t>Pascucci, Vincenzo/0000-0003-4834-3056</t>
  </si>
  <si>
    <t>0037-0738</t>
  </si>
  <si>
    <t>SEDIMENT GEOL</t>
  </si>
  <si>
    <t>Sediment. Geol.</t>
  </si>
  <si>
    <t>10.1016/j.sedgeo.2005.09.009</t>
  </si>
  <si>
    <t>001JZ</t>
  </si>
  <si>
    <t>WOS:000234530700005</t>
  </si>
  <si>
    <t>Saitoh, N; Hayashida, S; Sugita, T; Nakajima, H; Yokota, T; Sasano, Y</t>
  </si>
  <si>
    <t>Saitoh, N.; Hayashida, S.; Sugita, T.; Nakajima, H.; Yokota, T.; Sasano, Y.</t>
  </si>
  <si>
    <t>Variation in PSC Occurrence Observed with ILAS-II over the Antarctic in 2003</t>
  </si>
  <si>
    <t>SOLA</t>
  </si>
  <si>
    <t>The Improved Limb Atmospheric Spectrometer (ILAS)-II frequently observed polar stratospheric clouds (PSCs) in the Southern Hemisphere (SH) throughout the winter of 2003. Simultaneous observations of the aerosol extinction coefficient (AEC) at 780 nm, nitric acid, and water vapor data were analyzed to investigate the ambient thermodynamic conditions associated with observed PSCs. PSCs were first observed with ILAS-II at the end of May, and observed most frequently in August/September as temperatures cooled. At approximately 20 km late in the PSC season, however, PSCs were less likely to occur, despite cold temperatures, because of the lower concentration of nitric acid due to denitrification caused by sedimentation of previously occurring PSCs. The probability of PSC occurrence and the probability of ambient temperatures colder than nitric acid trihydrate (NAT) saturation temperature (T-NAT) were well correlated below similar to 20 km throughout the winter. In contrast, PSC frequency at similar to 22 km from late August to early September was low even when temperatures were sufficiently colder than TNAT; this is, at least, partly because of the decrease in background aerosol particles in the atmosphere.</t>
  </si>
  <si>
    <t>[Saitoh, N.; Sugita, T.; Nakajima, H.; Yokota, T.; Sasano, Y.] Natl Inst Environm Studies, Tsukuba, Ibaraki, Japan; [Hayashida, S.] Nara Womens Univ, Fac Sci, Nara 630, Japan</t>
  </si>
  <si>
    <t>National Institute for Environmental Studies - Japan; Nara Womens University</t>
  </si>
  <si>
    <t>Saitoh, N (corresponding author), Univ Tokyo, Ctr Climate Syst Res, Gen Res Bldg,5-1-5 Kashiwanoha, Kashiwa, Chiba 2778568, Japan.</t>
  </si>
  <si>
    <t>snaoko@ccsr.u-tokyo.ac.jp</t>
  </si>
  <si>
    <t>Sugita, Takafumi/H-6669-2018; Sasano, Yasuhiro/C-2927-2009; Nakajima, Hideaki/M-8845-2019; Sasano, Yasuhiro/AAL-8184-2020</t>
  </si>
  <si>
    <t>Nakajima, Hideaki/0000-0002-2742-1230; Sasano, Yasuhiro/0000-0001-7470-5642</t>
  </si>
  <si>
    <t>Ministry of the Environment of Japan (MOE); MOE</t>
  </si>
  <si>
    <t>Ministry of the Environment of Japan (MOE)(Ministry of the Environment, Japan); MOE(Ministry of Education, SingaporeMinistry of Higher Education &amp; Scientific Research (MHESR))</t>
  </si>
  <si>
    <t>We thank all members of the ILAS-II Science Team and Validation Experiment Team, and their associates. We are grateful to the United Kingdom Meteorological Office (MetO) for supplying the stratospheric analyses data. The ILAS-II data retrieval processing was conducted at the ILAS-II Data Handling Facility (DHF) at the National Institute for Environmental Studies (NIES). The ILAS-II project was funded by the Ministry of the Environment of Japan (MOE). A part of this research was supported by the Global Environment Research Fund provided by the MOE.</t>
  </si>
  <si>
    <t>METEOROLOGICAL SOC JAPAN</t>
  </si>
  <si>
    <t>C/O JAPAN METEOROLOGICAL AGENCY 1-3-4 OTE-MACHI, CHIYODA-KU, TOKYO, 100-0004, JAPAN</t>
  </si>
  <si>
    <t>1349-6476</t>
  </si>
  <si>
    <t>10.2151/sola.2006-019</t>
  </si>
  <si>
    <t>V22QN</t>
  </si>
  <si>
    <t>WOS:000208289800019</t>
  </si>
  <si>
    <t>Troshichev, O; Egorova, L; Janzhura, A; Vovk, V</t>
  </si>
  <si>
    <t>Ermolli, I; Pap, J; Fox, P</t>
  </si>
  <si>
    <t>Troshichev, O.; Egorova, L.; Janzhura, A.; Vovk, V.</t>
  </si>
  <si>
    <t>Influence of the disturbed solar wind on atmospheric processes in Antarctica and EI-Nino Southern Oscillation (ENSO)</t>
  </si>
  <si>
    <t>SOLAR VARIABILITY AND EARTH'S CLIMATE</t>
  </si>
  <si>
    <t>MEMORIE DELLA SOCIETA ASTRONOMICA ITALIANA - SERIES</t>
  </si>
  <si>
    <t>Conference on Solar Variability and Earths Climate</t>
  </si>
  <si>
    <t>JUN 27-JUL 01, 2005</t>
  </si>
  <si>
    <t>Rome, ITALY</t>
  </si>
  <si>
    <t>solar wind; interplanetary electric field; Antarctica; atmosphere processes; anomalous winds; El-Nino Southern Oscillation</t>
  </si>
  <si>
    <t>EL-NINO; CLOUD COVERAGE; COSMIC-RAYS; TEMPERATURE; HEMISPHERE; ANOMALIES; PRESSURE; CLIMATE</t>
  </si>
  <si>
    <t>The dramatic deviations of atmospheric winds from the regular pattern (anomalous winds) at two Antarctic coast stations located in the Western Pacific, Leningradskaya and Russkaya, and at the near-pole station Vostok have been examined in relation to strong disturbances in the interplanetary magnetic field (IMF), on the one hand, and ENSO variations, on the other hand. The Southern Oscillation Index (SOI) has been used to characterize the phase and intensity of the ENSO activity. Taking into account that the negative SOI values tend to appear and develop strictly during March-August, the winds in the winter Antarctica were only analyzed. The anomalous winds at three stations turned out to be observed 1-2 months ahead of the event. On the other hand, the statistically significant relationships between anomalous winds and the southward IMF take place. To check a possible link between the El-Nino events and Space Weather the behavior of SOI for 1987-2001 has been compared with variation of the AE index. It is shown, that El-Nino events follow the magnetic activity increase with delay time of 2-3 months.</t>
  </si>
  <si>
    <t>[Troshichev, O.; Egorova, L.; Janzhura, A.; Vovk, V.] Arctic &amp; Antarctic Res Inst, St Petersburg 199397, Russia</t>
  </si>
  <si>
    <t>Troshichev, O (corresponding author), Arctic &amp; Antarctic Res Inst, St Petersburg 199397, Russia.</t>
  </si>
  <si>
    <t>olegtro@aari.nw.ru</t>
  </si>
  <si>
    <t>Russian Foundation for Basic Research [RFBR-05-05-64633]</t>
  </si>
  <si>
    <t>Russian Foundation for Basic Research(Russian Foundation for Basic Research (RFBR)Spanish Government)</t>
  </si>
  <si>
    <t>The work was supported by the Russian Foundation for Basic Research under the grant RFBR-05-05-64633.</t>
  </si>
  <si>
    <t>SOC ASTRONOMICA ITALIANA</t>
  </si>
  <si>
    <t>FLORENCE</t>
  </si>
  <si>
    <t>LARGO ENRICO FERMI 5, FLORENCE, 50125, ITALY</t>
  </si>
  <si>
    <t>0037-8720</t>
  </si>
  <si>
    <t>MEM SOC ASTRON ITAL</t>
  </si>
  <si>
    <t>BEG25</t>
  </si>
  <si>
    <t>WOS:000237205500029</t>
  </si>
  <si>
    <t>Woodberry, P; Stevens, G; Snape, I; Stark, S</t>
  </si>
  <si>
    <t>Woodberry, Penny; Stevens, Geoff; Snape, Ian; Stark, Scott</t>
  </si>
  <si>
    <t>Removal of metal contaminants by ion-exchange resin columns, Thala Valley tip, Casey Station, Antarctica</t>
  </si>
  <si>
    <t>SOLVENT EXTRACTION AND ION EXCHANGE</t>
  </si>
  <si>
    <t>ion-exchange; Amberlite; multicomponent column; containment metal; water treatment; temperature; salinity</t>
  </si>
  <si>
    <t>CHELATING RESIN; HEAVY-METAL; SORPTION</t>
  </si>
  <si>
    <t>Salinity and low temperature effects on adsorption of contaminant metals from water using an iminodiacetic acid (IDA) ion-exchange resin, were investigated under dynamic flow conditions. The order of selectivity of the resin (20 degrees C and 0% seawater) was: Cu2+ &gt; Pb2+ &gt; Cr3+ &gt; Ni2+ &gt;Cd2+ &gt;Zn2+ . Low temperature (4 degrees C) had no significant effect on the selectivity of the contaminant metals and salinity only affected selectivity for Cr3+ and Cu2+ . Copper had highest selectivity in all column experiments, except where extensive deprotonation occured. Buffering affected retention of Cr3+ ; possibly due to precipitation or complexation as a result of increase in pH.</t>
  </si>
  <si>
    <t>Univ Melbourne, Dept Chem &amp; Biomol Engn, Particulate Fluids Proc Ctr, Melbourne, Vic, Australia; Australian Antarctic Div, Hobart, Tas, Australia</t>
  </si>
  <si>
    <t>University of Melbourne; Melbourne Bioinformatics; Australian Antarctic Division</t>
  </si>
  <si>
    <t>Stevens, G (corresponding author), Univ Melbourne, Dept Chem &amp; Biomol Engn, Particulate Fluids Proc Ctr, Melbourne, Vic, Australia.</t>
  </si>
  <si>
    <t>gstevens@unimelb.edu.au</t>
  </si>
  <si>
    <t>Stevens, Geoffrey/0000-0002-5788-4682</t>
  </si>
  <si>
    <t>TAYLOR &amp; FRANCIS INC</t>
  </si>
  <si>
    <t>PHILADELPHIA</t>
  </si>
  <si>
    <t>530 WALNUT STREET, STE 850, PHILADELPHIA, PA 19106 USA</t>
  </si>
  <si>
    <t>0736-6299</t>
  </si>
  <si>
    <t>1532-2262</t>
  </si>
  <si>
    <t>SOLVENT EXTR ION EXC</t>
  </si>
  <si>
    <t>Solvent Extr. Ion Exch.</t>
  </si>
  <si>
    <t>10.1080/07366290600762108</t>
  </si>
  <si>
    <t>Chemistry, Multidisciplinary</t>
  </si>
  <si>
    <t>057ST</t>
  </si>
  <si>
    <t>WOS:000238616200008</t>
  </si>
  <si>
    <t>Abyzov, SS; Duxbury, NS; Bobin, NE; Fukuchi, M; Hoover, RB; Kanda, H; Mitskevich, IN; Mulyukin, AL; Naganuma, T; Poglazova, MN; Ivanov, MV</t>
  </si>
  <si>
    <t>Bruce, LL; Dournon, C</t>
  </si>
  <si>
    <t>Abyzov, S. S.; Duxbury, N. S.; Bobin, N. E.; Fukuchi, M.; Hoover, R. B.; Kanda, H.; Mitskevich, I. N.; Mulyukin, A. L.; Naganuma, T.; Poglazova, M. N.; Ivanov, M. V.</t>
  </si>
  <si>
    <t>Super-long anabiosis of ancient microorganisms in ice and terrestrial models for development of methods to search for life on Mars Europa and other planetary bodies</t>
  </si>
  <si>
    <t>SPACE LIFE SCIENCES</t>
  </si>
  <si>
    <t>super-long anabiosis; Antarctic ice sheet; viable microorganisms; terrestrial analogs of Martian habitats; Europa; icy satellites; comets</t>
  </si>
  <si>
    <t>LAKE VOSTOK; BACTERIA; ENVIRONMENT; STARVATION; CLATHRATE; SURVIVAL; CELLS; SOIL</t>
  </si>
  <si>
    <t>Successful missions to Mars, Europe and other bodies of the Solar system have created a prerequisite to search for extraterrestrial life. The first attempts of microbial life detection on the Martian surface by the Viking landed missions gave no biological results. Microbiological investigations of the Martian subsurface ground ice layers seem to be more promising. It is well substantiated to consider the Antarctic ice sheet and the Antarctic and Arctic permafrost as terrestrial analogues of Martian habitats. The results of our long-standing microbiological studies of the Antarctic ice would provide the basis for detection of viable microbial cells on Mars. Our microbiological investigations of the deepest and thus most ancient strata of the Antarctic ice sheet for the first time gave evidence for the natural phenomenon of long-term anabiosis (preservation of viability and vitality for millennia years). A combination of classical microbiological methods, epifluorescence microscopy, SEM, TEM, molecular diagnostics, radioisotope labeling and other techniques made it possible for us to obtain convincing proof of the presence of pro- and eukaryotes in the Antarctic ice sheet. In this communication, we will review and discuss some critical issues related to the detection of viable microorganisms in cold terrestrial environments with regard to future searches for microbial life and/or its biological signatures on extraterrestrial objects. (c) 2005 COSPAR. Published by Elsevier Ltd. All rights reserved.</t>
  </si>
  <si>
    <t>[Abyzov, S. S.; Mitskevich, I. N.; Mulyukin, A. L.; Poglazova, M. N.; Ivanov, M. V.] Russian Acad Sci, Winogradsky Inst Microbiol, Pr 60 Letiya Oktyabrya 7-2, Moscow 117312, Russia; [Duxbury, N. S.] CALTECH, JPL, Pasadena, CA 91125 USA; [Bobin, N. E.] St Petersburg Min Inst, St Petersburg 199026, Russia; [Hoover, R. B.] NASA, NSSTC, Dept Space Sci, SD50, Huntsville, AL 35805 USA; [Naganuma, T.] Hiroshima Univ, Sch Biosphere Sci, Hiroshima, Japan</t>
  </si>
  <si>
    <t>Research Center of Biotechnology RAS; Russian Academy of Sciences; California Institute of Technology; National Aeronautics &amp; Space Administration (NASA); NASA Jet Propulsion Laboratory (JPL); Saint Petersburg Mining University; National Aeronautics &amp; Space Administration (NASA); Hiroshima University</t>
  </si>
  <si>
    <t>Mulyukin, AL (corresponding author), Russian Acad Sci, Winogradsky Inst Microbiol, Pr 60 Letiya Oktyabrya 7-2, Moscow 117312, Russia.</t>
  </si>
  <si>
    <t>abyzov@inmi.host.ru; nduxbury@jpl.nasa.gov; fukuchi@nipr.ac.jp; Richard.Hoover@msfc.nasa.gov; andylm@rambler.ru; takn@hiroshima-u.ac.jp</t>
  </si>
  <si>
    <t>Naganuma, Takeshi/AAX-7064-2021; Mulyukin, A./AAU-1036-2021</t>
  </si>
  <si>
    <t>Naganuma, Takeshi/0000-0003-1925-9461;</t>
  </si>
  <si>
    <t>10.1016/j.asr.2005.05.034</t>
  </si>
  <si>
    <t>Engineering, Aerospace; Astronomy &amp; Astrophysics; Biology; Geosciences, Multidisciplinary; Meteorology &amp; Atmospheric Sciences</t>
  </si>
  <si>
    <t>Engineering; Astronomy &amp; Astrophysics; Life Sciences &amp; Biomedicine - Other Topics; Geology; Meteorology &amp; Atmospheric Sciences</t>
  </si>
  <si>
    <t>BFV99</t>
  </si>
  <si>
    <t>WOS:000245034100025</t>
  </si>
  <si>
    <t>Grytsai, AV; Evtushevsky, AM</t>
  </si>
  <si>
    <t>Grytsai, A. V.; Evtushevsky, A. M.</t>
  </si>
  <si>
    <t>SEASONAL CHANGES OF THE ACTIVITY OF QUASI-STATIONARY PLANETARY WAVES IN THE STRATOSPHERE OVER THE ANTARCTIC</t>
  </si>
  <si>
    <t>SPACE SCIENCE AND TECHNOLOGY-KOSMICNA NAUKA I TEHNOLOGIA</t>
  </si>
  <si>
    <t>Ukrainian</t>
  </si>
  <si>
    <t>Seasonal changes of the quasi-stationary planetary wave parameters in the Antarctic are considered, the emphasis is on the winter-spring period. Data on the total ozone content in the atmosphere (the satellite spectrometer TOMS) and lower stratosphere temperature (NCEP-NCAR) are used. On the average for 1979-2004, the maximum value of the zonal wave amplitude (80 DU) is reached in October at a latitude of 65 degrees S. From August to November the amplitude maximum is displaced from the middle to high latitudes. Our comparison of the data for the years of an anomalous ozone hole development (1988 and 2002) shows that the wave amplitude increase in the late winter (August) is a sign of the ozone depletion decrease during spring. In August the stationary wave amplitude in the lower stratosphere temperature at the latitudes 60-65 degrees S was about 6 K and about 10 K in 1988 and 2002, respectively. This was one of the causes of distinctions in the development of the stratospheric processes during spring.</t>
  </si>
  <si>
    <t>[Grytsai, A. V.; Evtushevsky, A. M.] Taras Schevchenko Kiev Natl Univ, Kiev, Ukraine</t>
  </si>
  <si>
    <t>Ministry of Education &amp; Science of Ukraine; Taras Shevchenko National University of Kyiv</t>
  </si>
  <si>
    <t>Grytsai, AV (corresponding author), Taras Schevchenko Kiev Natl Univ, Kiev, Ukraine.</t>
  </si>
  <si>
    <t>Grytsai, Asen/AAS-7114-2020</t>
  </si>
  <si>
    <t>PUBLISHING HOUSE AKADEMPERIODYKA</t>
  </si>
  <si>
    <t>KYIV</t>
  </si>
  <si>
    <t>PUBLISHING HOUSE AKADEMPERIODYKA, KYIV, 00000, UKRAINE</t>
  </si>
  <si>
    <t>1561-8889</t>
  </si>
  <si>
    <t>2518-1459</t>
  </si>
  <si>
    <t>SPACE SCI TECHNOL</t>
  </si>
  <si>
    <t>Space Sci. Technol.</t>
  </si>
  <si>
    <t>VG1IP</t>
  </si>
  <si>
    <t>WOS:000445360400010</t>
  </si>
  <si>
    <t>Villante, U; De Lauretis, M; Francia, P; Vellante, M; Piancatelli, A</t>
  </si>
  <si>
    <t>Villante, U.; De lauretis, M.; Francia, P.; Vellante, M.; Piancatelli, A.</t>
  </si>
  <si>
    <t>Experimental aspects of mid-frequency pulsations (f≈10-100 mHz) in the southern polar cap</t>
  </si>
  <si>
    <t>SPACE SCIENCE REVIEWS</t>
  </si>
  <si>
    <t>geomagnetic pulsations; polar cap; magnetosphere-solar wind coupling</t>
  </si>
  <si>
    <t>ULF MAGNETIC PULSATIONS; NOVA BAY ANTARCTICA; SOLAR-WIND CONTROL; CUSP LATITUDES; PC3; DEPENDENCE; SIGNATURES; SPECTRA; FIELD; POWER</t>
  </si>
  <si>
    <t>We review the results obtained in the frequency range of Pc3 (22-100 mHz) and Pc4 (7-22 mHz) pulsations at Italian Antarctic stations in the southern polar cap (Mario Zucchelli, at Terra Nova Bay, TNB, 80 degrees S; Concordia, the Italian/French base at Dome C, DMC, 89 degrees S). The absence of a midnight enhancement in the pulsation power suggests a negligible substorm influence at extreme latitudes, while the sharp noon enhancement, which appears only at TNB, is determined by the closer proximity of the station to cusp related phenomena. The relationship between the frequency of the band-limited signals and the interplanetary magnetic field strength, the cone angle influence, and the higher correlation of the Pc3 power with the solar wind speed in the morning hours suggest a global scenario in which upstream waves would be mainly responsible for the mid-frequency activity in the polar cap. However, the polarization pattern is odd with respect to the predictions for tailward propagating modes.</t>
  </si>
  <si>
    <t>Univ Aquila, Dipartimento Fis, I-67100 Laquila, Italy; Area Astrogeofis, Laquila, Italy</t>
  </si>
  <si>
    <t>University of L'Aquila</t>
  </si>
  <si>
    <t>Villante, U (corresponding author), Univ Aquila, Dipartimento Fis, I-67100 Laquila, Italy.</t>
  </si>
  <si>
    <t>umberto.villante@aquila.infn.it</t>
  </si>
  <si>
    <t>; De Lauretis, Marcello/E-1550-2011</t>
  </si>
  <si>
    <t>Villante, Umberto/0000-0002-3630-7958; De Lauretis, Marcello/0000-0002-4088-5689; VELLANTE, Massimo/0000-0003-4628-366X</t>
  </si>
  <si>
    <t>0038-6308</t>
  </si>
  <si>
    <t>1572-9672</t>
  </si>
  <si>
    <t>SPACE SCI REV</t>
  </si>
  <si>
    <t>Space Sci. Rev.</t>
  </si>
  <si>
    <t>1-4</t>
  </si>
  <si>
    <t>10.1007/s11214-006-7015-7</t>
  </si>
  <si>
    <t>075ZW</t>
  </si>
  <si>
    <t>WOS:000239927800011</t>
  </si>
  <si>
    <t>Kellerer, A</t>
  </si>
  <si>
    <t>Matvienko, GG; Banakh, VA</t>
  </si>
  <si>
    <t>Kellerer, Aglae</t>
  </si>
  <si>
    <t>Towards an interferometer at Dome C, Antarctica: Measurement of the atmospheric coherence time. - art. no. 65220G</t>
  </si>
  <si>
    <t>Thirteenth Joint International Symposium on Atmospheric and Ocean Optics/Atmospheric Physics</t>
  </si>
  <si>
    <t>13th Joint International Symposium on Atmospheric and Ocean Optics/Atmospheric Physics</t>
  </si>
  <si>
    <t>JUL 02-07, 2006</t>
  </si>
  <si>
    <t>Tomsk, RUSSIA</t>
  </si>
  <si>
    <t>atmospheric effects; instrumentation; interferometers; site testing</t>
  </si>
  <si>
    <t>TURBULENCE; MONITOR</t>
  </si>
  <si>
    <t>Dome C, a summit on the Antarctic Ice Sheet, is a potential site for a projected astronomical interferometer. Measurements of the atmospheric time constant, tau(0) - which characterizes the performance of ground-based interferometers - have been performed on January 31(st) and February 1(st) 2005 at daytime. The atmospheric time constant was assessed through the motion of the image formed in the focal plane of a Fizeau interferometer. Insufficient temporal and spatial samplings did not permit the direct determination of tau(0), but a lower limit was, nevertheless, obtained by studying the decay rate of the correlation between successive fringes. Coherence times were found to exceed 10ms, i.e. they are at least three times larger than the median coherence time measured at the site of Paranal (3.3 ms). The instrumental set-up used at Dome C is sensitive to the wind direction and this intrinsically limits the precision that can be reached in the determination of tau(0). We review other current techniques for measuring the atmospheric time constant, and show that an adequate technique to monitor tau(0) is still lacking. A new method based on the fast variations of defocus is outlined.</t>
  </si>
  <si>
    <t>ESO, D-85748 Garching, Germany</t>
  </si>
  <si>
    <t>Kellerer, A (corresponding author), ESO, Karl Schwarzschild Str 2, D-85748 Garching, Germany.</t>
  </si>
  <si>
    <t>978-0-8194-6642-6</t>
  </si>
  <si>
    <t>G5220</t>
  </si>
  <si>
    <t>65220G</t>
  </si>
  <si>
    <t>10.1117/12.723038</t>
  </si>
  <si>
    <t>Meteorology &amp; Atmospheric Sciences; Oceanography; Optics; Physics, Applied</t>
  </si>
  <si>
    <t>Meteorology &amp; Atmospheric Sciences; Oceanography; Optics; Physics</t>
  </si>
  <si>
    <t>BFW55</t>
  </si>
  <si>
    <t>WOS:000245104400016</t>
  </si>
  <si>
    <t>Berezutskii, AV; Sklyarov, VE</t>
  </si>
  <si>
    <t>Berezutskii, A. V.; Sklyarov, V. E.</t>
  </si>
  <si>
    <t>On the influence of large-scale circulation on volume sound scattering in the Pacific Sector of the Antarctic</t>
  </si>
  <si>
    <t>THIRTEENTH JOINT INTERNATIONAL SYMPOSIUM ON ATMOSPHERIC AND OCEAN OPTICS/ATMOSPHERIC PHYSICS</t>
  </si>
  <si>
    <t>volume sound scattering; Pacific Sector of the Antarctic</t>
  </si>
  <si>
    <t>The report focuses on the analysis of the influence of large-scale circulation in the Pacific Sector of the Antarctic on the peculiarities in geographical pattern of volume sound scattering in the region.</t>
  </si>
  <si>
    <t>[Berezutskii, A. V.; Sklyarov, V. E.] RAS, PP Shirshov Inst Oceanol, 36 Nakhimovsky Prospect, Moscow 117997, Russia</t>
  </si>
  <si>
    <t>Russian Academy of Sciences; Shirshov Institute of Oceanology</t>
  </si>
  <si>
    <t>Berezutskii, AV (corresponding author), RAS, PP Shirshov Inst Oceanol, 36 Nakhimovsky Prospect, Moscow 117997, Russia.</t>
  </si>
  <si>
    <t>alxber@mail.ru</t>
  </si>
  <si>
    <t>65221V</t>
  </si>
  <si>
    <t>10.1117/12.723225</t>
  </si>
  <si>
    <t>WOS:000245104400067</t>
  </si>
  <si>
    <t>Trathan, PN; Murphy, EJ; Forcada, J; Croxall, JP; Reid, K; Thorpe, SE</t>
  </si>
  <si>
    <t>Boyd, IL; Wanless, S; Camphuysen, CJ</t>
  </si>
  <si>
    <t>Trathan, P. N.; Murphy, E. J.; Forcada, J.; Croxall, J. P.; Reid, K.; Thorpe, S. E.</t>
  </si>
  <si>
    <t>Physical forcing in the southwest Atlantic: ecosystem control</t>
  </si>
  <si>
    <t>TOP PREDATORS IN MARINE ECOSYSTEMS: THEIR ROLE IN MONITORING AND MANAGEMENT</t>
  </si>
  <si>
    <t>Conservation Biology Series</t>
  </si>
  <si>
    <t>ANTARCTIC CIRCUMPOLAR WAVE; PENGUINS PYGOSCELIS-PAPUA; KRILL POPULATION-DYNAMICS; SEA-ICE; OCEANOGRAPHIC VARIABILITY; INTERANNUAL VARIABILITY; OCEAN CIRCULATION; FUR SEALS; GEORGIA; TEMPERATURE</t>
  </si>
  <si>
    <t>[Trathan, P. N.; Murphy, E. J.; Forcada, J.; Croxall, J. P.; Reid, K.; Thorpe, S. E.] British Antarctic Survey, Nat Environm Res Council, Cambridge CB3 0ET, England</t>
  </si>
  <si>
    <t>Trathan, PN (corresponding author), British Antarctic Survey, Nat Environm Res Council, Madingley Rd, Cambridge CB3 0ET, England.</t>
  </si>
  <si>
    <t>murphy, eugene/GZL-1620-2022; Forcada, Jaume/GYU-0677-2022</t>
  </si>
  <si>
    <t>1363-3090</t>
  </si>
  <si>
    <t>978-0-521-61256-2; 978-0-521-84773-5</t>
  </si>
  <si>
    <t>CONSERV BIOL SER</t>
  </si>
  <si>
    <t>Conserv. Biol. Ser.</t>
  </si>
  <si>
    <t>10.1017/CBO9780511541964.004</t>
  </si>
  <si>
    <t>10.2277/ 052161256X</t>
  </si>
  <si>
    <t>Biodiversity Conservation; Ecology; Marine &amp; Freshwater Biology</t>
  </si>
  <si>
    <t>Biodiversity &amp; Conservation; Environmental Sciences &amp; Ecology; Marine &amp; Freshwater Biology</t>
  </si>
  <si>
    <t>BYR40</t>
  </si>
  <si>
    <t>WOS:000299885900004</t>
  </si>
  <si>
    <t>Bowen, WD; Beck, CA; Iverson, SJ; Austin, D; McMillan, JI</t>
  </si>
  <si>
    <t>Bowen, W. D.; Beck, C. A.; Iverson, S. J.; Austin, D.; McMillan, J. I.</t>
  </si>
  <si>
    <t>Linking predator foraging behaviour and diet with variability in continental shelf ecosystems: grey seals of eastern Canada</t>
  </si>
  <si>
    <t>ANTARCTIC FUR SEALS; SEX-DIFFERENCES; HALICHOERUS-GRYPUS; SCOTIAN SHELF; MATERNAL SIZE; SABLE ISLAND; PUP GROWTH; MARINE; PATTERNS; INVERTEBRATES</t>
  </si>
  <si>
    <t>[Bowen, W. D.; McMillan, J. I.] Bedford Inst Oceanog, Marine Fish Div, Dept Fisheries &amp; Oceans, Dartmouth, NS B2Y 1A, Canada; [Bowen, W. D.; Iverson, S. J.; Austin, D.] Dalhousie Univ, Halifax, NS B3H 4J1, Canada; [Beck, C. A.] Alaska Dept Fish &amp; Game, Div Wildlife Conservat, Marine Mammals Sect, Anchorage, AK 99518 USA</t>
  </si>
  <si>
    <t>Fisheries &amp; Oceans Canada; Bedford Institute of Oceanography; Dalhousie University; Alaska Department of Fish &amp; Game</t>
  </si>
  <si>
    <t>Bowen, WD (corresponding author), Bedford Inst Oceanog, Marine Fish Div, Dept Fisheries &amp; Oceans, Dartmouth, NS B2Y 1A, Canada.</t>
  </si>
  <si>
    <t>Bowen, William/AAE-7204-2022</t>
  </si>
  <si>
    <t>Bowen, William/0000-0001-8334-5677</t>
  </si>
  <si>
    <t>10.1017/CBO9780511541964.006</t>
  </si>
  <si>
    <t>WOS:000299885900006</t>
  </si>
  <si>
    <t>Staniland, IJ; Trathan, P; Martin, AR</t>
  </si>
  <si>
    <t>Staniland, I. J.; Trathan, P.; Martin, A. R.</t>
  </si>
  <si>
    <t>Consequences of prey distribution for the foraging behaviour of top predators</t>
  </si>
  <si>
    <t>ANTARCTIC FUR SEALS; KRILL AGGREGATION CHARACTERISTICS; TROPHIC-LEVEL PREDATORS; MACARONI PENGUINS; ARCTOCEPHALUS-GAZELLA; SOUTH GEORGIA; MARINE ECOSYSTEM; BREEDING-SEASON; DIVING BEHAVIOR; RESPONSES</t>
  </si>
  <si>
    <t>[Staniland, I. J.; Trathan, P.; Martin, A. R.] British Antarctic Survey, Nat Environm Res Council, Cambridge CB3 0ET, England</t>
  </si>
  <si>
    <t>Staniland, IJ (corresponding author), British Antarctic Survey, Nat Environm Res Council, Madingley Rd, Cambridge CB3 0ET, England.</t>
  </si>
  <si>
    <t>Staniland, Iain/I-4725-2012</t>
  </si>
  <si>
    <t>Staniland, Iain/0000-0003-2736-9134</t>
  </si>
  <si>
    <t>978-0-521-61256-2</t>
  </si>
  <si>
    <t>10.1017/CBO9780511541964.010</t>
  </si>
  <si>
    <t>WOS:000299885900010</t>
  </si>
  <si>
    <t>Croxall, JP</t>
  </si>
  <si>
    <t>Croxall, J. P.</t>
  </si>
  <si>
    <t>Monitoring predator-prey interactions using multiple predator species: the South Georgia experience</t>
  </si>
  <si>
    <t>ANTARCTIC FUR SEALS; TROPHIC-LEVEL PREDATORS; MARINE ECOSYSTEM; BIRD-ISLAND; KRILL; FISHERIES; INDICATORS; SEABIRDS; OCEAN; POPULATIONS</t>
  </si>
  <si>
    <t>Croxall, JP (corresponding author), British Antarctic Survey, Nat Environm Res Council, Madingley Rd, Cambridge CB3 0ET, England.</t>
  </si>
  <si>
    <t>10.1017/CBO9780511541964.012</t>
  </si>
  <si>
    <t>WOS:000299885900012</t>
  </si>
  <si>
    <t>Hamer, KC; Lewis, S; Wanless, S; Phillips, RA; Sherratt, TN; Humphreys, EM; Hennicke, J; Garthe, S</t>
  </si>
  <si>
    <t>Hamer, K. C.; Lewis, S.; Wanless, S.; Phillips, R. A.; Sherratt, T. N.; Humphreys, E. M.; Hennicke, J.; Garthe, S.</t>
  </si>
  <si>
    <t>Use of gannets to monitor prey availability in the northeast Atlantic Ocean: colony size, diet and foraging behaviour</t>
  </si>
  <si>
    <t>MORUS-BASSANUS; PELAGIC SEABIRD; SEA</t>
  </si>
  <si>
    <t>[Hamer, K. C.; Humphreys, E. M.] Univ Leeds, Earth Biosphere Inst, Leeds LS2 9JT, W Yorkshire, England; [Hamer, K. C.; Humphreys, E. M.] Univ Leeds, Sch Biol Ecol &amp; Evolut Grp, Leeds LS2 9JT, W Yorkshire, England; [Hennicke, J.] Univ Hamburg, Zool Inst &amp; Museum, D-20146 Hamburg, Germany; [Garthe, S.] Univ Kiel Hafentorn, Ctr Res &amp; Technol Westkuste, D-25761 Busum, Germany; [Lewis, S.; Wanless, S.] NERC Ctr Ecol &amp; Hydrol, Banchory Res Stn, Banchory AB31 4BW, Kincardine, Scotland; [Phillips, R. A.] British Antarctic Survey, Nat Environm Res Council, Cambridge CB3 0ET, England; [Sherratt, T. N.] Carleton Univ, Dept Biol, Ottawa, ON K1S 5B6, Canada</t>
  </si>
  <si>
    <t>University of Leeds; University of Leeds; University of Hamburg; UK Centre for Ecology &amp; Hydrology (UKCEH); UK Research &amp; Innovation (UKRI); Natural Environment Research Council (NERC); NERC British Antarctic Survey; Carleton University</t>
  </si>
  <si>
    <t>Hamer, KC (corresponding author), Univ Leeds, Earth Biosphere Inst, Leeds LS2 9JT, W Yorkshire, England.</t>
  </si>
  <si>
    <t>Lewis, Sue/D-3380-2012; Wanless, Sarah/K-2338-2012</t>
  </si>
  <si>
    <t>Lewis, Sue/0000-0003-3511-2259; Wanless, Sarah/0000-0002-2788-4606</t>
  </si>
  <si>
    <t>10.1017/CBO9780511541964.017</t>
  </si>
  <si>
    <t>WOS:000299885900017</t>
  </si>
  <si>
    <t>Reid, K; Murphy, EJ; Croxall, JP; Trathan, PN</t>
  </si>
  <si>
    <t>Reid, K.; Murphy, E. J.; Croxall, J. P.; Trathan, P. N.</t>
  </si>
  <si>
    <t>Population dynamics of Antarctic krill Euphausia superba at South Georgia: sampling with predators provides new insights</t>
  </si>
  <si>
    <t>SEALS ARCTOCEPHALUS-GAZELLA; FUR SEALS; MARINE ECOSYSTEM; ICE EXTENT; VARIABILITY; DIET; ABUNDANCE; GROWTH; NETS; VICINITY</t>
  </si>
  <si>
    <t>[Reid, K.; Murphy, E. J.; Croxall, J. P.; Trathan, P. N.] British Antarctic Survey, Environm Res Council, Cambridge CB3 0ET, England</t>
  </si>
  <si>
    <t>Reid, K (corresponding author), British Antarctic Survey, Environm Res Council, Madingley Rd, Cambridge CB3 0ET, England.</t>
  </si>
  <si>
    <t>murphy, eugene/GZL-1620-2022</t>
  </si>
  <si>
    <t>10.1017/CBO9780511541964.018</t>
  </si>
  <si>
    <t>WOS:000299885900018</t>
  </si>
  <si>
    <t>Constable, AJ</t>
  </si>
  <si>
    <t>Constable, A. J.</t>
  </si>
  <si>
    <t>Setting management goals using information from predators</t>
  </si>
  <si>
    <t>MANAGING FISHERIES; MARINE ECOSYSTEM; FOOD WEBS; CONSERVATION; CONSEQUENCES; STRATEGIES</t>
  </si>
  <si>
    <t>Australian Antarctic Div, Australian Dept Environm &amp; Heritage, Kingston, Tas 7050, Australia</t>
  </si>
  <si>
    <t>Constable, AJ (corresponding author), Australian Antarctic Div, Australian Dept Environm &amp; Heritage, 203 Channel Highway, Kingston, Tas 7050, Australia.</t>
  </si>
  <si>
    <t>10.1017/CBO9780511541964.023</t>
  </si>
  <si>
    <t>WOS:000299885900023</t>
  </si>
  <si>
    <t>Marty, B; Yokochi, R</t>
  </si>
  <si>
    <t>Keppler, H; Smyth, JR</t>
  </si>
  <si>
    <t>Marty, Bernard; Yokochi, Reika</t>
  </si>
  <si>
    <t>Water in the early Earth</t>
  </si>
  <si>
    <t>WATER IN NOMINALLY ANHYDROUS MINERALS</t>
  </si>
  <si>
    <t>Reviews in Mineralogy &amp; Geochemistry</t>
  </si>
  <si>
    <t>INTERPLANETARY DUST PARTICLES; HF-W CHRONOMETRY; NOMINALLY ANHYDROUS MINERALS; INNER SOLAR-SYSTEM; ISOTOPIC COMPOSITION; TERRESTRIAL PLANETS; NOBLE-GASES; CARBONACEOUS CHONDRITES; ORGANIC-MATTER; ANTARCTIC MICROMETEORITES</t>
  </si>
  <si>
    <t>CNRS, Ctr Rech Petrogr &amp; Geochim, F-54220 Vandoeuvre Les Nancy, France; Univ Illinois, Dept Earth &amp; Environm Sci, Chicago, IL 60607 USA</t>
  </si>
  <si>
    <t>Centre National de la Recherche Scientifique (CNRS); Universite de Lorraine; University of Illinois System; University of Illinois Chicago; University of Illinois Chicago Hospital</t>
  </si>
  <si>
    <t>Marty, B (corresponding author), CNRS, Ctr Rech Petrogr &amp; Geochim, 15 Rue Notre Dame Pauvres, F-54220 Vandoeuvre Les Nancy, France.</t>
  </si>
  <si>
    <t>bmarty@crpg.cnrs-nancy.fr; yokochi@uic.edu</t>
  </si>
  <si>
    <t>Yokochi, Reika/0000-0002-8756-142X</t>
  </si>
  <si>
    <t>MINERALOGICAL SOC AMER</t>
  </si>
  <si>
    <t>CHANTILLY</t>
  </si>
  <si>
    <t>3635 CONCORDE PKWY STE 500, CHANTILLY, VA 20151-1125 USA</t>
  </si>
  <si>
    <t>1529-6466</t>
  </si>
  <si>
    <t>0-939950-74-X</t>
  </si>
  <si>
    <t>REV MINERAL GEOCHEM</t>
  </si>
  <si>
    <t>Rev. Mineral. Geochem.</t>
  </si>
  <si>
    <t>10.2138/rmg.2006.62.18</t>
  </si>
  <si>
    <t>Geochemistry &amp; Geophysics; Mineralogy</t>
  </si>
  <si>
    <t>BFH28</t>
  </si>
  <si>
    <t>WOS:000241855800018</t>
  </si>
  <si>
    <t>Morozov, E</t>
  </si>
  <si>
    <t>Grue, J; Trulsen, K</t>
  </si>
  <si>
    <t>Morozov, Eugene</t>
  </si>
  <si>
    <t>Internal tides. Global field of internal tides and mixing caused by internal tides</t>
  </si>
  <si>
    <t>WAVES IN GEOPHYSICAL FLUIDS: TSUNAMIS, ROGUE WAVES, INTERNAL WAVES AND INTERNAL TIDES</t>
  </si>
  <si>
    <t>CISM Courses and Lectures</t>
  </si>
  <si>
    <t>CISM Summer School on Waves in Geophysical Fluids</t>
  </si>
  <si>
    <t>JUL 11-15, 2005</t>
  </si>
  <si>
    <t>Udine, ITALY</t>
  </si>
  <si>
    <t>BARENTS-SEA; CRITICAL LATITUDE; WAVES; GIBRALTAR; OCEAN; GENERATION; STRAIT; TOPOGRAPHY; MODELS; SHELF</t>
  </si>
  <si>
    <t>Different approaches to the study of internal waves in the ocean are analyzed. Generation of internal tides over submarine ridges is considered on the basis of numerical models and measurements in the ocean. Energy fluxes from submarine ridges exceed many times the fluxes from continental slopes because the dominating part of the tidal flow is directed parallel to the coastline. Submarine ridges if normal to the tidal flow form an obstacle that can cause generation of large internal waves. Internal tides are extreme when the depth of the ridge crest is comparatively small with respect to the surrounding depths. Energy fluxes from most submarine ridges were estimated. They account for approximately one fourth of the total energy loss from the barotropic tides. Model estimates were compared with the measurements on moorings at 30 study regions in the oceans. Combined calculations and measurements result in a map of global distribution of internal tide amplitudes. The study is extended to the Arctic region. Extreme internal tides were recorded near the Mascarene Ridge in the Indian Ocean, Mid-Atlantic Ridge in the South Atlantic, Great Meteor bank and the Strait of Gibraltar. A high correlation has been found between bottom topography and vertical wavenumber spectra of vertical displacements calculated from potential temperature profiles measured by CTD instruments. Increased spectral densities of vertical wavenumber spectra are related to the presence of fine structure. The latter is caused by vertical motions in the ocean, which lead to mixing. Hence, vertical wavenumber spectra are an integral characteristic of many processes, which induce mixing: breaking of internal waves, intrusions, upwelling, frontal dynamics, etc. Spectral densities (dropped spectra) near submarine ridges are several times greater than in the regions far from abrupt topography where they are close to the background spectra described by the Garrett-Munk model. We found regions of enhanced mixing near the bottom in the deep Equatorial and Vema channels. This method also indicated strong mixing of Mediterranean and Atlantic waters west of the Strait of Gibraltar, mixing of North Atlantic Deep Water with Antarctic Intermediate and Antarctic Bottom waters, and mixing at the front of the North Atlantic Current.</t>
  </si>
  <si>
    <t>[Morozov, Eugene] Russian Acad Sci, Shirshov Inst Oceanol, Dept Internal Waves, Moscow, Russia</t>
  </si>
  <si>
    <t>Morozov, E (corresponding author), Russian Acad Sci, Shirshov Inst Oceanol, Dept Internal Waves, Moscow, Russia.</t>
  </si>
  <si>
    <t>Morozov, Eugene/0000-0002-0251-3454</t>
  </si>
  <si>
    <t>RFBR [03-05-64024]</t>
  </si>
  <si>
    <t>RFBR(Russian Foundation for Basic Research (RFBR))</t>
  </si>
  <si>
    <t>This study was supported by the RFBR, project no. 03-05-64024.</t>
  </si>
  <si>
    <t>SPRINGER-VERLAG WIEN</t>
  </si>
  <si>
    <t>VIENNA</t>
  </si>
  <si>
    <t>SACHSENPLATZ 4-6, A-1201 VIENNA, AUSTRIA</t>
  </si>
  <si>
    <t>0254-1971</t>
  </si>
  <si>
    <t>978-3-211-37460-3</t>
  </si>
  <si>
    <t>CISM COURSES LECT</t>
  </si>
  <si>
    <t>Geochemistry &amp; Geophysics; Mechanics</t>
  </si>
  <si>
    <t>BGG35</t>
  </si>
  <si>
    <t>WOS:000246654500006</t>
  </si>
  <si>
    <t>Ballance, LT; Pitman, RL; Hewitt, RP; Siniff, DB; Trivelpiece, WZ; Clapham, PJ; Brownell, RL</t>
  </si>
  <si>
    <t>Estes, JA; Demaster, DP; Doak, DF; Williams, TM; Brownell, RL</t>
  </si>
  <si>
    <t>Ballance, Lisa T.; Pitman, Robert L.; Hewitt, Roger P.; Siniff, Donald B.; Trivelpiece, Wayne Z.; Clapham, Phillip J.; Brownell, Robert L., Jr.</t>
  </si>
  <si>
    <t>The Removal of Large Whales from the Southern Ocean Evidence for Long-Term Ecosystem Effects?</t>
  </si>
  <si>
    <t>WHALES, WHALING, AND OCEAN ECOSYSTEMS</t>
  </si>
  <si>
    <t>SEA-ICE EXTENT; ANTARCTIC PENINSULA; PENGUIN POPULATIONS; ELEPHANT ISLAND; ADELIE PENGUINS; SCOTIA SEA; EAR PLUG; KRILL; GEORGIA; VARIABILITY</t>
  </si>
  <si>
    <t>[Ballance, Lisa T.; Pitman, Robert L.; Hewitt, Roger P.; Trivelpiece, Wayne Z.; Brownell, Robert L., Jr.] NMFS, SW Fisheries Sci Ctr, La Jolla, CA USA; [Clapham, Phillip J.] NMFS, Alaska Fisheries Sci Ctr, Seattle, WA USA; [Siniff, Donald B.] Univ Minnesota, St Paul, MN 55108 USA</t>
  </si>
  <si>
    <t>National Oceanic Atmospheric Admin (NOAA) - USA; National Oceanic Atmospheric Admin (NOAA) - USA; University of Minnesota System; University of Minnesota Twin Cities</t>
  </si>
  <si>
    <t>Ballance, LT (corresponding author), NMFS, SW Fisheries Sci Ctr, La Jolla, CA USA.</t>
  </si>
  <si>
    <t>Ballance, Lisa/AAF-5472-2020</t>
  </si>
  <si>
    <t>UNIV CALIFORNIA PRESS</t>
  </si>
  <si>
    <t>BERKELEY</t>
  </si>
  <si>
    <t>2120 BERKELEY WAY, BERKELEY, CA 94720 USA</t>
  </si>
  <si>
    <t>978-0-52093-320-0</t>
  </si>
  <si>
    <t>BXG76</t>
  </si>
  <si>
    <t>WOS:000296087600018</t>
  </si>
  <si>
    <t>Costa, DP; Weise, MJ; Arnould, JPY</t>
  </si>
  <si>
    <t>Costa, Daniel P.; Weise, Michael J.; Arnould, John P. Y.</t>
  </si>
  <si>
    <t>Potential Influences of Whaling on the Status and Trends of Pinniped Populations</t>
  </si>
  <si>
    <t>ANTARCTIC FUR SEALS; SOUTHERN ELEPHANT SEALS; WHALES ORCINUS-ORCA; KILLER WHALES; HARBOR SEALS; HARP SEALS; FORAGING ENERGETICS; PHOCA-VITULINA; LIFE-HISTORY; ARCTOCEPHALUS-PUSILLUS</t>
  </si>
  <si>
    <t>[Costa, Daniel P.; Weise, Michael J.] Univ Calif Santa Cruz, Santa Cruz, CA 95064 USA; [Arnould, John P. Y.] Deakin Univ, Burwood, Vic, Australia</t>
  </si>
  <si>
    <t>University of California System; University of California Santa Cruz; Deakin University</t>
  </si>
  <si>
    <t>Costa, DP (corresponding author), Univ Calif Santa Cruz, Santa Cruz, CA 95064 USA.</t>
  </si>
  <si>
    <t>Carlos, Universidade Federal de São/W-8832-2019; Costa, Daniel Paul/E-2616-2013</t>
  </si>
  <si>
    <t>Carlos, Universidade Federal de São/0000-0002-0334-3899; Costa, Daniel Paul/0000-0002-0233-5782</t>
  </si>
  <si>
    <t>OAKLAND</t>
  </si>
  <si>
    <t>155 GRAND AVE, SUITE 400, OAKLAND, CA 94612-3758 USA</t>
  </si>
  <si>
    <t>978-0-52093-320-0; 978-0-520-24884-7</t>
  </si>
  <si>
    <t>WOS:000296087600028</t>
  </si>
  <si>
    <t>Holley, DK; Lawler, IR; Gales, NJ</t>
  </si>
  <si>
    <t>Holley, David K.; Lawler, Ivan R.; Gales, Nicholas J.</t>
  </si>
  <si>
    <t>Summer survey of dugong distribution and abundance in Shark Bay reveals additional key habitat area</t>
  </si>
  <si>
    <t>WILDLIFE RESEARCH</t>
  </si>
  <si>
    <t>REEF-MARINE-PARK; WESTERN-AUSTRALIA; AERIAL SURVEYS; COASTAL WATERS; TORRES STRAIT; QUEENSLAND; MIGRATION; SEAGRASS; SOUTH; FAUNA</t>
  </si>
  <si>
    <t>The first standardised summer aerial survey of dugons within Shark Bay in Western Australia, and the fourth in a series of surveys of this area, was undertaken during February 2002. This survey returned a population estimate of 11021 +/- 1357 (s.e.), a result similar to the first two winter surveys in 1989 and 1994 but considerably lower than the 1999 survey. Distribution was markedly different in this Survey compared with all previous surveys, which were conducted during winter, confirming that dugongs within Shark Bay undertake a seasonal migration driven by changes in sea surface temperature. In addition to this distribution pattern it was identified that 24% of the population during summer occurred within an area known as Henri Freycinet Harbour. That is, while dugongs have been reported in this south-western region of the bay previously in summer, this is the first time that the substantial size (2629 +/- 780, s.e.) of the summer dugong population has been quantified. Differences in the population estimate between the 1999 survey and this survey may be explained through large-scale movement patterns of dugongs between Shark Bay and Ningaloo Reef and Exmouth Gulf to the north, patterns that should be considered in the management of dugongs for the entire region.</t>
  </si>
  <si>
    <t>Dept Conservat &amp; Land Management, Bentley, WA 6983, Australia; Edith Cowan Univ, Sch Nat Sci, Joondalup, WA 6027, Australia; James Cook Univ N Queensland, Sch Trop Environm Studies &amp; Geog, Townsville, Qld 4811, Australia; Australian Antarctic Div, Kingston, Tas 7050, Australia</t>
  </si>
  <si>
    <t>Edith Cowan University; James Cook University; Australian Antarctic Division</t>
  </si>
  <si>
    <t>Holley, DK (corresponding author), Dept Fisheries Western Australia, 39 Northside Dr, Hillarys, WA 6025, Australia.</t>
  </si>
  <si>
    <t>Lawler, Ivan R/G-3901-2010</t>
  </si>
  <si>
    <t>COLLINGWOOD</t>
  </si>
  <si>
    <t>150 OXFORD ST, PO BOX 1139, COLLINGWOOD, VICTORIA 3066, AUSTRALIA</t>
  </si>
  <si>
    <t>1035-3712</t>
  </si>
  <si>
    <t>1448-5494</t>
  </si>
  <si>
    <t>WILDLIFE RES</t>
  </si>
  <si>
    <t>Wildl. Res.</t>
  </si>
  <si>
    <t>10.1071/WR05031</t>
  </si>
  <si>
    <t>Ecology; Zoology</t>
  </si>
  <si>
    <t>Environmental Sciences &amp; Ecology; Zoology</t>
  </si>
  <si>
    <t>060EX</t>
  </si>
  <si>
    <t>WOS:000238786300011</t>
  </si>
  <si>
    <t>Petel, TDV; Terhune, JM; Hindell, MA; Giese, MA</t>
  </si>
  <si>
    <t>An assessment of the audibility of sound from human transport by breeding Weddell seals (Leptonychotes weddellii)</t>
  </si>
  <si>
    <t>PAGOPHILUS-GROENLANDICUS ERXLEBEN; MAN-MADE NOISE; UNDERWATER VOCALIZATIONS; HARP SEAL; HARBOR SEAL; DETECTION THRESHOLDS; BEHAVIOR; ANTARCTICA; HEARING; DISTURBANCE</t>
  </si>
  <si>
    <t>Anthropogenic noise generated through travel in the Antarctic has the potential to affect the region's wildlife. Weddell seals (Leptonychotes weddellii) in particular can be exposed to anthropogenic noise because they live under, and breed on, the fast ice on which humans travel. To investigate the potential effects of anthropogenic noise on Weddell seals we developed sound profiles for pedestrian travel, over-snow vehicles, aircraft and watercraft operating at various distances and altitudes from breeding seals. The received 1/3- octave noise levels were then related to an assumed detection threshold for the Weddell seal. We found that most noise levels generated by the pedestrian, quad (4-wheeled, all-terrain vehicle) and Hagglunds ( tracked, all-terrain vehicle) were commonly categorised in the inaudible and barely audible range of detection ( both in-air and underwater), while noise levels generated by the helicopter, Twin Otter aircraft and Zodiac boat were categorised more commonly in the barely audible and clearly audible range. Experimental underwater recordings of vocal behaviour of Weddell seals exposed to continuous low-amplitude over-snow vehicle noise (i.e. Hagglund operation) were also made. Weddell seals underwater did not alter individual call types in response to low-level Hagglunds noise, but they did decrease their calling rate.</t>
  </si>
  <si>
    <t>Univ Tasmania, Sch Zool, Hobart, Tas 7001, Australia; Univ New Brunswick, Ctr Coastal Studies &amp; Aquaculture, St John, NB E2L 4L5, Canada; Australian Antarctic Div, Human Impacts Res Program, Channel Highway, Tas 7050, Australia</t>
  </si>
  <si>
    <t>University of Tasmania; University of New Brunswick; Australian Antarctic Division</t>
  </si>
  <si>
    <t>Petel, TDV (corresponding author), Univ Tasmania, Sch Zool, POB 252-05, Hobart, Tas 7001, Australia.</t>
  </si>
  <si>
    <t>tdvan@postoffice.utas.edu.au</t>
  </si>
  <si>
    <t>Hindell, Mark A/C-8368-2013; Hindell, Mark A/K-1131-2013</t>
  </si>
  <si>
    <t>Hindell, Mark/0000-0002-7823-7185; Terhune, John/0000-0002-2661-7389</t>
  </si>
  <si>
    <t>10.1071/WR05001</t>
  </si>
  <si>
    <t>056XU</t>
  </si>
  <si>
    <t>Green Submitted, Green Accepted</t>
  </si>
  <si>
    <t>WOS:000238559200003</t>
  </si>
  <si>
    <t>Mironov, AN</t>
  </si>
  <si>
    <t>Centers of marine fauna redistribution</t>
  </si>
  <si>
    <t>ZOOLOGICHESKY ZHURNAL</t>
  </si>
  <si>
    <t>Russian</t>
  </si>
  <si>
    <t>DEEP-SEA FAUNA; BIOGEOGRAPHY; ATLANTIC; PACIFIC; ORIGIN; MODEL; PATTERNS; PECULIARITIES; DIVERSITY; EVOLUTION</t>
  </si>
  <si>
    <t>The concepts of centers of biota origin and centers of biota accumulation are usually considered as alternative ones. The paper analyzes them within a united conception of centers of biota redistribution. Center of redistribution represents a biogeographical unit, which has three developmental stages: accumulation, diversification, and dispersal. At the accumulation stage, the taxonomic capacity of a biogeographical district increases drastically, and the species richness becomes higher due to the penetration of species from other regions. At the stage of diversification, the species richness continues to increase due to speciation, a united succession system develops. At the stage of dispersal, the biotic boundaries of the region act as efficient barriers for species colonization. The species of the center of redistribution have an advantage over the species of adjacent regions when colonizing new habitats. In the Neogene, the main centers of redistribution of the marine fauna characteristic of shallow areas were located in the Indo-Malayan triangle, the western Atlantic and the northern Pacific Ocean. For deep oceanic areas, the role of redistribution belonged to the Antarctic and the western Pacific. The possibility to use an ecosystem approach to study the centers of redistribution is discussed.</t>
  </si>
  <si>
    <t>Russian Acad Sci, Inst Oceanol, Moscow 117851, Russia</t>
  </si>
  <si>
    <t>Russian Acad Sci, Inst Oceanol, Moscow 117851, Russia.</t>
  </si>
  <si>
    <t>Miron@sio.rssi.ru</t>
  </si>
  <si>
    <t>Mironov, Alexander N./A-5335-2017</t>
  </si>
  <si>
    <t>MAIK NAUKA-INTERPERIODICA PUBL</t>
  </si>
  <si>
    <t>MOSCOW</t>
  </si>
  <si>
    <t>GSP-1, MARONOVSKII PER 26, MOSCOW, 119049, RUSSIA</t>
  </si>
  <si>
    <t>0044-5134</t>
  </si>
  <si>
    <t>ZOOL ZH</t>
  </si>
  <si>
    <t>Zool. Zhurnal</t>
  </si>
  <si>
    <t>029OY</t>
  </si>
  <si>
    <t>WOS:000236574300001</t>
  </si>
  <si>
    <t>Lu, H; Raupach, MR; Richards, KS</t>
  </si>
  <si>
    <t>Modeling entrainment of sedimentary particles by wind and water: A generalized approach</t>
  </si>
  <si>
    <t>JOURNAL OF GEOPHYSICAL RESEARCH-ATMOSPHERES</t>
  </si>
  <si>
    <t>TURBULENT-BOUNDARY-LAYERS; INCIPIENT MOTION; SALTATION THRESHOLD; SURFACE-ROUGHNESS; PICKUP PROBABILITY; FLOW; VELOCITY; TRANSPORT; GRAVEL; DUST</t>
  </si>
  <si>
    <t>[1] For long-standing theoretical reasons, it is often asserted that the threshold shear stress for entrainment of sedimentary particles (tau*(t) = rho(f) u(*t)(2), made dimensionless as A = rho(f) u(*t)(2) /((rho(p) - rho(f)) gd)) has a universal relationship with the particle Reynolds number (Re-*t = u(*t) d/nu), where u(*t) is the threshold friction velocity, rho(f) is the fluid density, rho(p) is the density of the particles, d is the particle diameter, g is the gravitational acceleration and nu is the kinematic viscosity of the fluid. However, experimental plots of A( Re-*t) for sediment entrainment in air and water show two major differences: (1) For large Re-*t, the values of A in water are, in general, a few times larger than those in air, and (2) when Re-*t &lt; 1, A increases more rapidly in air than in water as Re-*t decreases. This paper derives a new, general theory for A, which incorporates the effects of fluid turbulence, particle cohesion and probabilistic aspects of grain entrainment. It is found that difference ( 1) is explained by differences in the probability distribution of streamwise velocity fluctuations for typical situations in air and water, which follow from basic scaling laws for velocity variances in turbulent flow. Difference ( 2) is explained by the different behaviors of interparticle cohesion forces in air and water. The resulting expression is shown to compare well with experimental data.</t>
  </si>
  <si>
    <t>British Antarctic Survey, Cambridge CB3 0ET, England; Univ Cambridge, Inst Theoret Phys, Cambridge, England; CSIRO, Canberra, ACT 2601, Australia; Univ Cambridge, Dept Geog, Cambridge CB2 3EN, England</t>
  </si>
  <si>
    <t>UK Research &amp; Innovation (UKRI); Natural Environment Research Council (NERC); NERC British Antarctic Survey; University of Cambridge; Commonwealth Scientific &amp; Industrial Research Organisation (CSIRO); University of Cambridge</t>
  </si>
  <si>
    <t>British Antarctic Survey, Madingley Rd, Cambridge CB3 0ET, England.</t>
  </si>
  <si>
    <t>hlu@bas.ac.uk</t>
  </si>
  <si>
    <t>Lu, Hua/GXA-0276-2022</t>
  </si>
  <si>
    <t>Lu, Hua/0000-0001-9485-5082</t>
  </si>
  <si>
    <t>2169-897X</t>
  </si>
  <si>
    <t>2169-8996</t>
  </si>
  <si>
    <t>J GEOPHYS RES-ATMOS</t>
  </si>
  <si>
    <t>J. Geophys. Res.-Atmos.</t>
  </si>
  <si>
    <t>DEC 30</t>
  </si>
  <si>
    <t>D24</t>
  </si>
  <si>
    <t>D24114</t>
  </si>
  <si>
    <t>10.1029/2005JD006418</t>
  </si>
  <si>
    <t>001BE</t>
  </si>
  <si>
    <t>WOS:000234506600001</t>
  </si>
  <si>
    <t>Funke, B; López-Puertas, M; Gil-López, S; von Clarmann, T; Stiller, GP; Fischer, H; Kellmann, S</t>
  </si>
  <si>
    <t>Downward transport of upper atmospheric NOx into the polar stratosphere and lower mesosphere during the Antarctic 2003 and Arctic 2002/2003 winters -: art. no. D24308</t>
  </si>
  <si>
    <t>MIDDLE ATMOSPHERE; ODD NITROGEN; LOWER THERMOSPHERE; EMISSION-SPECTRA; NUMERICAL-MODEL; MIPAS; OZONE; RETRIEVAL; ELECTRONS; DYNAMICS</t>
  </si>
  <si>
    <t>[1] Pronounced upper stratospheric and mesospheric NOx enhancements were measured by the Michelson Interferometer for Passive Atmospheric Sounding (MIPAS) in the Southern Hemisphere (SH) polar vortex from May to August 2003, reaching average abundances of 60 ppbv at 50 - 60 km in July. Peak mixing ratios of around 200 ppbv were measured in the polar night, representing the highest values ever recorded in the SH. The observed NOx enhancements are attributed to production by electron precipitation in the upper mesosphere and lower thermosphere and subsequent descent with the meridional circulation. Using measured CH4 and CO distributions as dynamic tracers, the downward transport of NOx-rich air masses into the lower and middle stratosphere has been investigated. Upper atmospheric air with average NOx abundances of 15 ppbv reached the 800 - 1000 K potential temperature region ( around 30 km) by the end of July, where it remained until the final warming in late October. The NOx descent was confined to the polar vortex, although significant mixing of tropical and NOx-rich vortex air masses began already in August above 40 km. The amount of upper atmospheric NOy measured inside of the SH vortex in late spring was 1.1 Gigamoles ( GM) which is in good agreement with previous estimates from HALOE data. The global coverage of MIPAS data further allows to quantify the upper atmospheric NOx dispersed into the stratosphere during August-September, estimated in 1.3 GM. The net deposition of NOx into the stratosphere during the 2003 Antarctic winter (2.4 GM) makes up 9% of the N2O oxidation source in the SH, twice as much as estimated in previous studies. NOx and tracer distributions observed on several days during the NH winter 2002/2003 have been analyzed for comparison. We found that high planetary wave activity, resulting in the major midwinter warming had led to a rather inefficient NOx downward transport with negligible deposition of NOx into the lower and middle stratosphere.</t>
  </si>
  <si>
    <t>CSIC, Inst Astrofis Andalucia, E-18080 Granada, Spain; Forschungszentrum Karlsruhe, Inst Meteorol &amp; Klimaforsch, D-76021 Karlsruhe, Germany; Univ Karlsruhe, Inst Meteorol &amp; Klimaforsch, D-76021 Karlsruhe, Germany</t>
  </si>
  <si>
    <t>Consejo Superior de Investigaciones Cientificas (CSIC); CSIC - Instituto de Astrofisica de Andalucia (IAA); Helmholtz Association; Karlsruhe Institute of Technology; Helmholtz Association; Karlsruhe Institute of Technology</t>
  </si>
  <si>
    <t>CSIC, Inst Astrofis Andalucia, Apartado Postal 3004, E-18080 Granada, Spain.</t>
  </si>
  <si>
    <t>bernd@iaa.es</t>
  </si>
  <si>
    <t>von Clarmann, Thomas/A-7287-2013; Stiller, Gabriele P./A-7340-2013; Funke, Bernd/C-2162-2008; Lopez-Puertas, Manuel/M-8219-2013</t>
  </si>
  <si>
    <t>Stiller, Gabriele P./0000-0003-2883-6873; Gil-Lopez, Sergio/0000-0001-5584-345X; von Clarmann, Thomas/0000-0003-2219-3379; Funke, Bernd/0000-0003-0462-4702; Lopez-Puertas, Manuel/0000-0003-2941-7734; Gil-Lopez, Sergio/0000-0002-3867-5439</t>
  </si>
  <si>
    <t>DEC 28</t>
  </si>
  <si>
    <t>D24308</t>
  </si>
  <si>
    <t>10.1029/2005JD006463</t>
  </si>
  <si>
    <t>001BC</t>
  </si>
  <si>
    <t>WOS:000234506400003</t>
  </si>
  <si>
    <t>Milz, M; von Clarmann, T; Fischer, H; Glatthor, N; Grabowski, U; Höpfner, M; Kellmann, S; Kiefer, M; Linden, A; Tsidu, GM; Steck, T; Stiller, GP; Funke, B; López-Puertas, M; Koukouli, ME</t>
  </si>
  <si>
    <t>Water vapor distributions measured with the Michelson Interferometer for Passive Atmospheric Sounding on board Envisat (MIPAS/Envisat) -: art. no. D24307</t>
  </si>
  <si>
    <t>HALOGEN OCCULTATION EXPERIMENT; TROPICAL TROPOPAUSE TEMPERATURES; MICROWAVE LIMB SOUNDER; STRATOSPHERIC FOUNTAIN; EMISSION-SPECTRA; RETRIEVAL; MIPAS; DEHYDRATION; TROPOSPHERE; UARS</t>
  </si>
  <si>
    <t>[1] We present water vapor profiles obtained from infrared limb emission measurements recorded by the Michelson Interferometer for Passive Atmospheric Sounding (MIPAS) on board the European Environmental Satellite (Envisat). These retrievals are based on constrained nonlinear least squares fitting. The retrievals are very sensitive to the radiative signals of thin transparent clouds and measurements showing any signature of cloud contamination have been rigorously excluded. The vertical resolution of the retrieved water vapor profiles is 4.5 to 6.5 km up to an altitude of approximately 42 km. The resulting total error of the retrieved water vapor profiles, including measurement noise, systematic and random parameter uncertainties like interfering species or preretrieved temperature or spectroscopic data, is in the range of 6 to 9% in the stratosphere. Towards the tropopause, the error increases up to 30% due to the exponential gradient of the tropospheric water vapor profile, where small line of sight uncertainties lead to strong absolute variations in the water vapor profile below the hygropause. Averaged water vapor distributions obtained from measurements taken during 11 days in June, July, and August 2003 show the expected distributions with low water vapor volume mixing ratios ( VMRs) above the tropopause, comparatively dry air inside the tropical stratospheric updraft region and indications for strong dehydration above the Antarctic continent inside the polar vortex. Additionally, in the transition from tropics to subtropics, a latitude band was observed where, in higher altitudes, large water vapor VMRs were measured compared to adjacent tropical and midlatitudinal regions. Especially over the Arabic peninsula, a moist region at 18 km altitude was observed, which was probably related to the South Asian monsoon circulation.</t>
  </si>
  <si>
    <t>Univ Karlsruhe, Forschungszentrum Karlsruhe, Inst Meteorol &amp; Klimaforsch, D-76021 Karlsruhe, Germany; CSIC, Inst Astrofis Andalucia, E-18080 Granada, Spain; Aristotle Univ Thessaloniki, Lab Atmospher Phys, GR-54124 Thessaloniki, Greece</t>
  </si>
  <si>
    <t>Helmholtz Association; Karlsruhe Institute of Technology; Consejo Superior de Investigaciones Cientificas (CSIC); CSIC - Instituto de Astrofisica de Andalucia (IAA); Aristotle University of Thessaloniki</t>
  </si>
  <si>
    <t>Univ Karlsruhe, Forschungszentrum Karlsruhe, Inst Meteorol &amp; Klimaforsch, Postfach 3640, D-76021 Karlsruhe, Germany.</t>
  </si>
  <si>
    <t>mathias.milz@imk.fzk.de</t>
  </si>
  <si>
    <t>von Clarmann, Thomas/A-7287-2013; Milz, Mathias/C-9899-2011; Stiller, Gabriele P./A-7340-2013; Tsidu, Gizaw Mengistu/AAG-6048-2019; Kiefer, Michael/A-7254-2013; Glatthor, Norbert/B-2141-2013; Koukouli, Maria Elissavet/O-9711-2019; Funke, Bernd/C-2162-2008; Lopez-Puertas, Manuel/M-8219-2013; Hopfner, Michael/A-7255-2013</t>
  </si>
  <si>
    <t>Stiller, Gabriele P./0000-0003-2883-6873; Koukouli, Maria Elissavet/0000-0002-7509-4027; Milz, Mathias/0000-0002-4478-2185; Mengistu Tsidu, Gizaw/0000-0003-3076-4696; Funke, Bernd/0000-0003-0462-4702; Lopez-Puertas, Manuel/0000-0003-2941-7734; von Clarmann, Thomas/0000-0003-2219-3379; Hopfner, Michael/0000-0002-4174-9531</t>
  </si>
  <si>
    <t>D24307</t>
  </si>
  <si>
    <t>10.1029/2005JD005973</t>
  </si>
  <si>
    <t>WOS:000234506400002</t>
  </si>
  <si>
    <t>Mioni, CE; Handy, SM; Ellwood, MJ; Twiss, MR; McKay, RML; Boyd, PW; Wilhelm, SW</t>
  </si>
  <si>
    <t>Tracking changes in bioavailable Fe within high-nitrate low-chlorophyll oceanic waters: A first estimate using a heterotrophic bacterial bioreporter</t>
  </si>
  <si>
    <t>GLOBAL BIOGEOCHEMICAL CYCLES</t>
  </si>
  <si>
    <t>PHYTOPLANKTON IRON LIMITATION; EQUATORIAL PACIFIC-OCEAN; ANTARCTIC SOUTHERN-OCEAN; REPLETE COASTAL WATERS; FERTILIZATION EXPERIMENT; MARINE-PHYTOPLANKTON; PRIMARY PRODUCTIVITY; SAZ PROJECT; SEA-WATER; GROWTH</t>
  </si>
  <si>
    <t>It is conventional knowledge that heterotrophic bacteria play a key role in the biogeochemical cycling of oceanic carbon. However, only recently has their role in marine iron ( Fe) biogeochemical cycles been examined. Research during this past decade has demonstrated an inextricable link between Fe chemistry and the biota, as &gt;99% of Fe in marine systems is complexed to organic chelates of unknown but obviously biotic origin. Here we present a novel approach to assess and compare Fe bioavailability in low Fe HNLC waters using a bioluminescent bacterial reporter that quantitatively responds to the concentration of bioavailable Fe by producing light. Originally tested in freshwater environments, this study presents the first characterization of this halotolerant reporter organism in a defined seawater medium and then subsequently in marine surface waters. Laboratory characterizations demonstrate that this reporter displays a dose-dependent response to Fe availability in our defined marine medium. Field tests were performed during the 10-day mesoscale FeCycle experiment ( February 2003) in the Pacific sub-Antarctic high-nitrate low-chlorophyll region. Data from both biogeochemical measures and bioreporter assays are provided which describe how the bioreporter detected changes in Fe bioavailability that occurred during a natural shift in ambient dissolved Fe concentrations (similar to 40 pM). Our data explore the use of heterotrophic bioluminescent reporters as a comparable tool for marine ecosystems and demonstrate the potential utility of this tool in elucidating the relationship between Fe bioavailability and Fe chemistry in complex marine systems.</t>
  </si>
  <si>
    <t>Univ Tennessee, Dept Microbiol, Knoxville, TN 37996 USA; Univ Tennessee, Ctr Environm Biotechnol, Knoxville, TN 37996 USA; Natl Inst Water &amp; Atmosphere, Dunedin, New Zealand; Natl Inst Water &amp; Atmosphere, Dunedin, New Zealand; Univ Delaware, Coll Marine Studies, Lewes, DE 19958 USA; Bowling Green State Univ, Dept Biol Sci, Bowling Green, OH 43403 USA; Clarkson Univ, Dept Biol, Potsdam, NY 13699 USA</t>
  </si>
  <si>
    <t>University of Tennessee System; University of Tennessee Knoxville; University of Tennessee System; University of Tennessee Knoxville; National Institute of Water &amp; Atmospheric Research (NIWA) - New Zealand; National Institute of Water &amp; Atmospheric Research (NIWA) - New Zealand; University of Delaware; University System of Ohio; Bowling Green State University; Clarkson University</t>
  </si>
  <si>
    <t>Univ Tennessee, Dept Microbiol, Knoxville, TN 37996 USA.</t>
  </si>
  <si>
    <t>mioni@utk.edu; shandy@udel.edu; m.ellwood@niwa.co.nz; mtwiss@clarkson.edu; rmmckay@bgnet.bgsu.edu; pboyd@alkali.otago.ac.nz; wilhelm@utk.edu</t>
  </si>
  <si>
    <t>Wilhelm, Steven W/B-8963-2008; Handy, Sara M/C-6195-2008; Ellwood, Michael J/G-7390-2011; McKay, Robert Michael/P-3759-2017; Boyd, Philip/J-7624-2014</t>
  </si>
  <si>
    <t>Wilhelm, Steven W/0000-0001-6283-8077; McKay, Robert Michael/0000-0003-2723-5371; Boyd, Philip/0000-0001-7850-1911; Ellwood, Michael/0000-0003-4288-8530</t>
  </si>
  <si>
    <t>0886-6236</t>
  </si>
  <si>
    <t>1944-9224</t>
  </si>
  <si>
    <t>GLOBAL BIOGEOCHEM CY</t>
  </si>
  <si>
    <t>Glob. Biogeochem. Cycle</t>
  </si>
  <si>
    <t>DEC 24</t>
  </si>
  <si>
    <t>GB4S25</t>
  </si>
  <si>
    <t>10.1029/2005GB002476</t>
  </si>
  <si>
    <t>Environmental Sciences; Geosciences, Multidisciplinary; Meteorology &amp; Atmospheric Sciences</t>
  </si>
  <si>
    <t>Environmental Sciences &amp; Ecology; Geology; Meteorology &amp; Atmospheric Sciences</t>
  </si>
  <si>
    <t>999BX</t>
  </si>
  <si>
    <t>WOS:000234364800001</t>
  </si>
  <si>
    <t>Morris, RJ; Terkildsen, MB; Holdsworth, DA; Hyde, MR</t>
  </si>
  <si>
    <t>Is there a causal relationship between cosmic noise absorption and PMSE?</t>
  </si>
  <si>
    <t>GEOPHYSICAL RESEARCH LETTERS</t>
  </si>
  <si>
    <t>MESOSPHERE SUMMER ECHOES; POLAR MESOSPHERE; CLOUDS</t>
  </si>
  <si>
    <t>We report on the first Southern Hemisphere comparison between polar mesosphere summer echoes (PMSE) and cosmic noise absorption (CNA). Observations were obtained during the austral summer of 2003-2004 from a 55 MHz MST radar, a 38.2 MHz imaging riometer and a 30 MHz standard riometer all co-located at Davis, Antarctica (68.6 degrees S). Case study PMSE events suggest that CNA plays a role in the intensification of established dayside PMSE possibly linked with soft electron precipitation from the polar cusp, and indeed with a similar effect and moreover with the creation of night-side PMSE connected with hard auroral electron precipitation. Although Pearson correlation coefficients are not that high (i.e., 0.423), Spearman rank correlation coefficients of 0.315, with 123 degrees of freedom well above the 99% confidence limits, established that a weak correlation between CNA and PMSE intensity exists. We use this result to discuss two unexplained properties of PMSE: (i) diurnal minimum near similar to 15-21 UT; and (ii) non-linear intensity variation as a function of latitude. Surprisingly, this study presents only the second analysis of this kind using co-located instruments.</t>
  </si>
  <si>
    <t>Dept Heritage &amp; Environm, Australian Antarctic Div, Kingston, Tas 7050, Australia; Univ Newcastle, Dept Phys, Callaghan, NSW, Australia; Univ Adelaide, Dept Phys, Adelaide, SA, Australia</t>
  </si>
  <si>
    <t>Australian Antarctic Division; University of Newcastle; University of Adelaide</t>
  </si>
  <si>
    <t>Dept Heritage &amp; Environm, Australian Antarctic Div, Kingston, Tas 7050, Australia.</t>
  </si>
  <si>
    <t>ray.morris@aad.gov.au</t>
  </si>
  <si>
    <t>Terkildsen, Michael/0000-0002-6290-158X</t>
  </si>
  <si>
    <t>0094-8276</t>
  </si>
  <si>
    <t>1944-8007</t>
  </si>
  <si>
    <t>GEOPHYS RES LETT</t>
  </si>
  <si>
    <t>Geophys. Res. Lett.</t>
  </si>
  <si>
    <t>DEC 23</t>
  </si>
  <si>
    <t>L24809</t>
  </si>
  <si>
    <t>10.1029/2005GL024568</t>
  </si>
  <si>
    <t>999BS</t>
  </si>
  <si>
    <t>WOS:000234364300007</t>
  </si>
  <si>
    <t>Campbell, HA; Taylor, EW; Egginton, S</t>
  </si>
  <si>
    <t>Does respiratory sinus arrhythmia occur in fishes?</t>
  </si>
  <si>
    <t>BIOLOGY LETTERS</t>
  </si>
  <si>
    <t>notothenioids; Antarctic fish; power spectral analysis; cardio-respiratory coupling</t>
  </si>
  <si>
    <t>HEART-RATE; SPECTRAL-ANALYSIS; RHYTHM</t>
  </si>
  <si>
    <t>The hypothesis that respiratory modulation of heart rate variability (HRV) or respiratory sinus arrhythmia (RSA) is restricted to mammals was tested on four Antarctic and four sub-Antarctic species of fish, that shared close genotypic or ecotypic similarities but, due to their different environmental temperatures, faced vastly different selection pressures related to oxygen supply. The intrinsic heart rate (f(H)) for all the fish species studied was similar to 25% greater than respiration rate (f(v)), but vagal activity successively delayed heart beats, producing a resting f(H) that was synchronized with fv in a progressive manner. Power spectral statistics showed that these episodes of relative bradycardia occurred in a cyclical manner every 2-4 heart beats in temperate species but at &gt; 4 heart beats in Antarctic species, indicating a more relaxed selection pressure for cardio-respiratory coupling. This evidence that vagally mediated control of f(H) operates around the ventilatory cycle in fish demonstrates that influences similar to those controlling RSA in mammals operate in non-mammalian vertebrates.</t>
  </si>
  <si>
    <t>Univ Birmingham, Dept Physiol, Birmingham B15 2TT, W Midlands, England; Univ Birmingham, Sch Biosci, Birmingham B15 2TT, W Midlands, England; Univ Otago, Portobello Marine Lab, Dunedin, New Zealand</t>
  </si>
  <si>
    <t>University of Birmingham; University of Birmingham; University of Otago</t>
  </si>
  <si>
    <t>Campbell, HA (corresponding author), Univ Birmingham, Dept Physiol, POB 363, Birmingham B15 2TT, W Midlands, England.</t>
  </si>
  <si>
    <t>h.a.campbell@bham.ac.uk</t>
  </si>
  <si>
    <t>Ghiami, Zeinab/G-5492-2016</t>
  </si>
  <si>
    <t>Egginton, Stuart/0000-0002-3084-9692; Campbell, Hamish/0000-0003-1428-1686</t>
  </si>
  <si>
    <t>ROYAL SOCIETY</t>
  </si>
  <si>
    <t>6-9 CARLTON HOUSE TERRACE, LONDON SW1Y 5AG, ENGLAND</t>
  </si>
  <si>
    <t>1744-9561</t>
  </si>
  <si>
    <t>BIOL LETT-UK</t>
  </si>
  <si>
    <t>Biol. Lett.</t>
  </si>
  <si>
    <t>DEC 22</t>
  </si>
  <si>
    <t>10.1098/rsbl.2005.0365</t>
  </si>
  <si>
    <t>Biology; Ecology; Evolutionary Biology</t>
  </si>
  <si>
    <t>Life Sciences &amp; Biomedicine - Other Topics; Environmental Sciences &amp; Ecology; Evolutionary Biology</t>
  </si>
  <si>
    <t>992VH</t>
  </si>
  <si>
    <t>WOS:000233911600028</t>
  </si>
  <si>
    <t>Boakes, G; Mok, WHH; Rowley, DM</t>
  </si>
  <si>
    <t>Kinetic studies of the CIO plus CIO association reaction as a function of temperature and pressure</t>
  </si>
  <si>
    <t>PHYSICAL CHEMISTRY CHEMICAL PHYSICS</t>
  </si>
  <si>
    <t>ABSORPTION CROSS-SECTIONS; DICHLORINE MONOXIDE CL2O; CHLORINE OXIDE DIMER; SELF-REACTION; ANTARCTIC OZONE; CLO DIMER; THERMAL-DECOMPOSITION; ULTRAVIOLET-SPECTRUM; EQUILIBRIUM-CONSTANT; VIBRATIONAL-SPECTRA</t>
  </si>
  <si>
    <t>The kinetics of the association reaction of ClO radicals: ClO + ClO + M -&gt; Cl(2)O(2) + M (1), have been investigated as a function of temperature T between 206.0-298.0 K and pressure p between 25-760 Torr using flash photolysis with time-resolved UV absorption spectroscopy. ClO radicals were generated following the photolysis of Br(2)/Cl(2)O mixtures in nitrogen diluent gas. Charge coupled device (CCD) detection of time resolved absorptions was used to monitor ClO radicals over a broad wavelength window covering the ClO (A (2)II &lt;- X (2)II) vibronic absorption bands. The high pass filtered ClO absorption cross sections were calibrated as a function of temperature between T = 206.0-320 K, and exhibit a negative temperature dependence. The ClO association kinetics were found to be more rapid than those reported in previous studies, with limiting low and high pressure rate coefficients, in nitrogen bath gas, k(0) = (2.78 +/- 0.82) x 10(-32) x (T/300)(-399 +/- 0.94) molecule(-2) cm(6) s(-1) and k(infinity) = (3.37 +/- 1.67) x 10(-12) x (T/300)(-149 +/- 1.81) molecule(-1) cm(3) s(-1), respectively, (obtained with the broadening factor F(c) fixed at 0.6). Errors are 2 sigma. The pressure dependent ClO association rate coefficients (falloff curves) exhibited some discrepancies at low pressures, with higher than expected rate coefficients on the basis of extrapolation from high pressures (p &gt; 100 Tort). Reanalysis of data excluding kinetic data recorded below p = 100 Torr gave k(0) = (2.79 +/- 0.85) x 10(-32) x (T/300)(-3.78 +/- 0.98) molecule-(2) cm(6) s(-1) and k infinity = (3.44 +/- 1.83) x 10(-12) x (T/300)(-1.73 +/- 1.91) molecule(-1) cm(3) s(-1). Potential sources of the low pressure discrepancies are discussed. The expression for k(0) in air bath gas is ko = (2.62 +/- 0.80) x 10(-32) x (T/300)(-3.78 +/- 0.98) molecule(-2) cm(6) s(-1). These results support upward revision of the ClO association rate coefficient recommended for use in stratospheric models, and the stratospheric implications of the results reported here are briefly discussed.</t>
  </si>
  <si>
    <t>UCL, Dept Chem, Christopher Ingold Labs, London WC1H 0AJ, England</t>
  </si>
  <si>
    <t>University of London; University College London</t>
  </si>
  <si>
    <t>Rowley, DM (corresponding author), UCL, Dept Chem, Christopher Ingold Labs, 20 Gordon St, London WC1H 0AJ, England.</t>
  </si>
  <si>
    <t>1463-9076</t>
  </si>
  <si>
    <t>PHYS CHEM CHEM PHYS</t>
  </si>
  <si>
    <t>Phys. Chem. Chem. Phys.</t>
  </si>
  <si>
    <t>DEC 21</t>
  </si>
  <si>
    <t>10.1039/b510308h</t>
  </si>
  <si>
    <t>Chemistry, Physical; Physics, Atomic, Molecular &amp; Chemical</t>
  </si>
  <si>
    <t>Chemistry; Physics</t>
  </si>
  <si>
    <t>997OB</t>
  </si>
  <si>
    <t>WOS:000234254200019</t>
  </si>
  <si>
    <t>Blazewicz-Paszkowycz, M; Heard, RW</t>
  </si>
  <si>
    <t>Observations on Cumacea (Malacostraca: Peracarida) from Antarctic and subantarctic waters.: II.: The rediscovery and redescriptions of Diastylis hammoniae Zimmer, 1902 and Diastylis planifrons Calman, 1912</t>
  </si>
  <si>
    <t>PROCEEDINGS OF THE BIOLOGICAL SOCIETY OF WASHINGTON</t>
  </si>
  <si>
    <t>Diastylis hammoniae Zimmer, 1902 and D. planifrons Calman, 1912 are redescribed and illustrated on the basis of examination of the type material and additional specimens collected in Subantarctic waters off Argentina during Cruise 6 of the R/V Eltanin in 1968. Both of these diastylid species have not been reported since their original descriptions. Diastylis hammoniae, which was originally described from two specimens taken in waters off eastern Patagonia, is distinguished from other members of the genus by a combination of characters including (1) the absence of exopods on pereopods 3 and 4 in the female, the shape and minute spination of the carapace, (2) the elongate carpus of pereopod 2 (distinctly longer than combined length of propodus and dactylus), (3) the telson not extending as far as the distal third of the uropodal peduncle, and (4) the presence of 6 or 7 pairs of narrow, elongate, simple lateral setae on the telson. Specimens of Diastylis planifrons were collected in the same general area as its type locality. This species is distinguished from other species of Diastylis by a combination of characters including its uniquely sculptured carapace, a well-developed antenna, and pereopod 2 having a slender and elongate carpus which, like that of D. hammoniae, is nearly twice as long as the combined lengths of the propodus and dactylus. Diastylis hammoniae and D. planifrons co-occurred in the R/V Eltanin sample.</t>
  </si>
  <si>
    <t>Univ Lodz, Lab Polar Biol &amp; Oceanobiol, PL-90237 Lodz, Poland; Univ So Mississippi, Dept Coastal Sci, Ocean Springs, MS 39566 USA</t>
  </si>
  <si>
    <t>University of Lodz; University of Southern Mississippi</t>
  </si>
  <si>
    <t>Blazewicz-Paszkowycz, M (corresponding author), Univ Lodz, Lab Polar Biol &amp; Oceanobiol, Banacha 12-16, PL-90237 Lodz, Poland.</t>
  </si>
  <si>
    <t>magdab@biol.uni.lodz.pl; richard.heard@usm.edu</t>
  </si>
  <si>
    <t>Błażewicz, Magdalena/J-5175-2017</t>
  </si>
  <si>
    <t>Blazewicz, Magdalena/0000-0002-4753-3424</t>
  </si>
  <si>
    <t>ALLEN PRESS INC</t>
  </si>
  <si>
    <t>0006-324X</t>
  </si>
  <si>
    <t>1943-6327</t>
  </si>
  <si>
    <t>P BIOL SOC WASH</t>
  </si>
  <si>
    <t>Proc. Biol. Soc. Wash.</t>
  </si>
  <si>
    <t>10.2988/0006-324X(2005)118[649:OOCMPF]2.0.CO;2</t>
  </si>
  <si>
    <t>Biology</t>
  </si>
  <si>
    <t>Life Sciences &amp; Biomedicine - Other Topics</t>
  </si>
  <si>
    <t>998GV</t>
  </si>
  <si>
    <t>WOS:000234307500001</t>
  </si>
  <si>
    <t>Observations on Cumacea (Malacostraca: Peracarida) from Antarctic and subantarctic waters.: III.: The genus Holostylis Stebbing, 1912 (Diastylidae), with a supplemental description of H-helleri (Zimmer, 1907) and the description of H-spinicauda, a new deep-water species</t>
  </si>
  <si>
    <t>CRUSTACEA</t>
  </si>
  <si>
    <t>The diastylid genus Holostylis Stebbing, 1912, which is characterized by the presence of an apparently uniarticulate uropodal endopod, is considered valid. A supplemental description is given for the type species, Holostylis helleri (Zimmer, 1907), and the description of H. spinicauda, a new deep-water form, is presented. The new species differs from H. helleri, the only other recognized member of the genus, by apparently lacking exopods on the female and by having its telson armed with a cluster of proximal dorsal spines. A third nominal species, Holostylis gayi (Nicolet, 1849) described from Chilean waters is considered a species incertae sedis.</t>
  </si>
  <si>
    <t>Univ Lodz, Lab Polar Biol &amp; Oceanobiol, PL-90237 Lodz, Poland; Univ So Mississippi, Inst Marine Sci, Gulf Coast Res Lab, Ocean Springs, MS 39566 USA</t>
  </si>
  <si>
    <t>Blazewicz-Paszkowycz, M (corresponding author), Univ Lodz, Lab Polar Biol &amp; Oceanobiol, Pomorska 141, PL-90237 Lodz, Poland.</t>
  </si>
  <si>
    <t>10.2988/0006-324X(2005)118[660:OOCMPF]2.0.CO;2</t>
  </si>
  <si>
    <t>WOS:000234307500002</t>
  </si>
  <si>
    <t>Wang, HJ; Fan, K</t>
  </si>
  <si>
    <t>Central-north china precipitation as reconstructed from the Qing Dynasty: Signal of the Antarctic Atmospheric Oscillation</t>
  </si>
  <si>
    <t>WESTERN PACIFIC; SUMMER MONSOON; VARIABILITY; CIRCULATION; CLIMATE</t>
  </si>
  <si>
    <t>Based on the long-term Central-north China precipitation (CNCP) time series reconstructed from the Qing Dynasty Official Document, the relationship between CNCP and the Antarctic Atmospheric Oscillation (AAO) in June-July is examined. The analysis yields a (significant) negative correlation of -0.22. The signal of AAO in CNCP is further studied through analyses of the atmospheric general circulation variability related to AAO. It follows that AAO-related variability of convergence and convection over the tropical western Pacific can exert impact on the circulation condition and precipitation in north China (actually, the precipitation in the Yangtze River Valley as well) through atmospheric teleconnection known as the East Asia-Pacific (or Pacific-Japan) teleconnection wave pattern. There is also an AAO-connected wave train in the vorticity field at high troposphere over Eurasia, providing an anti-cyclonic circulation in central-north China favorable to the decline of precipitation in positive phase of AAO.</t>
  </si>
  <si>
    <t>Chinese Acad Sci, Inst Atmospher Phys, Beijing 100029, Peoples R China; Yunnan Univ, Dept Atmospher Sci, Kunming 650091, Peoples R China</t>
  </si>
  <si>
    <t>Chinese Academy of Sciences; Institute of Atmospheric Physics, CAS; Yunnan University</t>
  </si>
  <si>
    <t>Chinese Acad Sci, Inst Atmospher Phys, POB 9804, Beijing 100029, Peoples R China.</t>
  </si>
  <si>
    <t>wanghj@mail.iap.ac.cn</t>
  </si>
  <si>
    <t>Fan, K/GXH-3734-2022; Fan, Ke/AAJ-2315-2020</t>
  </si>
  <si>
    <t>DEC 20</t>
  </si>
  <si>
    <t>L24705</t>
  </si>
  <si>
    <t>10.1029/2005GL024562</t>
  </si>
  <si>
    <t>999BK</t>
  </si>
  <si>
    <t>WOS:000234363400007</t>
  </si>
  <si>
    <t>Yu, J; Gloersen, P</t>
  </si>
  <si>
    <t>Interannual variations in global SST deviations through SMMR from 1978 to 1987</t>
  </si>
  <si>
    <t>INTERNATIONAL JOURNAL OF REMOTE SENSING</t>
  </si>
  <si>
    <t>ANTARCTIC CIRCUMPOLAR WAVE; TROPOSPHERIC RESPONSE; OCEAN; VARIABILITY; ANOMALIES</t>
  </si>
  <si>
    <t>We study variability of global sea surface temperature (SST) utilizing the data of scanning multichannel microwave radiometer (SMMR) on board the NASA Nimbus 7 satellite from 1978 to 1987. First, we model, and then remove from the SMMR SST data, the seasonal cycle by using an intercept, a trend and first five harmonics of the annual cycle to fit the data at each grid point by the method of least squares. A general negative nine-year trend was observed. In order to analyse the deviations in the global SSTs, we calculate and remove zonally averaged temperatures. We then show Hoffmueller diagrams for the deviations along paths in different oceanic regions over the globe. These paths include a quadrangle in the south Pacific and paths in the north Pacific, Atlantic and along the equatorial Pacific. Both 1983 and 1987 El Nino events as well as the 1984-85 La Nina event are clearly depicted. During these events, the SSTs in the equatorial Pacific and Atlantic are completely out of phase. We also demonstrate spatial propagation of SST waves over interannual scales. In particular, a wave of a period of about 3-4 years following the North Pacific Current will be shown.</t>
  </si>
  <si>
    <t>Univ Vermont, Burlington, VT 05401 USA; NASA, Goddard Space Flight Ctr, Greenbelt, MD 20771 USA</t>
  </si>
  <si>
    <t>University of Vermont; National Aeronautics &amp; Space Administration (NASA); NASA Goddard Space Flight Center</t>
  </si>
  <si>
    <t>Univ Vermont, Burlington, VT 05401 USA.</t>
  </si>
  <si>
    <t>Jun.Yu@uvm.edu</t>
  </si>
  <si>
    <t>0143-1161</t>
  </si>
  <si>
    <t>1366-5901</t>
  </si>
  <si>
    <t>INT J REMOTE SENS</t>
  </si>
  <si>
    <t>Int. J. Remote Sens.</t>
  </si>
  <si>
    <t>10.1080/01431160500285688</t>
  </si>
  <si>
    <t>Remote Sensing; Imaging Science &amp; Photographic Technology</t>
  </si>
  <si>
    <t>003AK</t>
  </si>
  <si>
    <t>WOS:000234653800004</t>
  </si>
  <si>
    <t>Hernández-Guerra, A; Fraile-Nuez, E; López-Laatzen, F; Martínez, A; Parrilla, G; Vélez-Belchí, P</t>
  </si>
  <si>
    <t>Canary current and North Equatorial Current from an inverse box model -: art. no. C12019</t>
  </si>
  <si>
    <t>JOURNAL OF GEOPHYSICAL RESEARCH-OCEANS</t>
  </si>
  <si>
    <t>EASTERN BOUNDARY CURRENT; ATLANTIC GENERAL-CIRCULATION; LARGE-SCALE CIRCULATION; OCEAN CIRCULATION; WATER MASSES; THERMOCLINE CIRCULATION; HYDROGRAPHIC SECTION; AZORES CURRENT; ISLANDS AREA; FRESH-WATER</t>
  </si>
  <si>
    <t>[1] The large-scale Canary Basin circulation is estimated from a box inverse model applied to hydrographic data from a quasi-synoptic survey carried out in September 2003. The cruise consisted of 76 full depth CTD and oxygen stations. Circulation is required to nearly conserve mass and anomalies of salinity and heat within layers bounded by neutral surfaces. It permits advective and diffusive exchange between layers and an adjustment of the Ekman transport and the freshwater flux divergences. The Canary Current at the thermocline layer transports a net mass of 4.7 +/- 0.8 Sv southward north of the Canary Islands from the African coast to 19 degrees W. It is divided into a northward circulation at a rate of 1.1 +/- 0.5 Sv between the African coast and Lanzarote Island and a southward transport of 5.8 +/- 0.6 Sv. It transports North Atlantic Central Water and organic matters advected offshore by the filaments protruding from the upwelling system off northwest Africa. At 24 degrees N, the Canary Current feeds the North Equatorial Current that transports a mixture of North and South Atlantic Central Waters westward. In the intermediate layer a southwestward flow of 1.2 +/- 1.1 Sv transports Mediterranean Water to the Subtropical Gyre, though the highest salt flux is transported by a meddy. Oxygen distribution and mass transport suggest a northeastward deep flow of a water mass colder than 2.2 degrees C consisting of diluted Antarctic Bottom Water. The heat and freshwater divergences and the average dianeutral velocity and diffusion between the sections and the African coast are negligible.</t>
  </si>
  <si>
    <t>Univ Las Palmas Gran Canaria, Fac Ciencias Mar, E-35017 Las Palmas Gran Canaria, Spain; Inst Espanol Oceanog, Ctr Oceanog Canarias, E-38080 Santa Cruz de La Palma, Spain; Inst Espanol Oceanog, E-28002 Madrid, Spain</t>
  </si>
  <si>
    <t>Universidad de Las Palmas de Gran Canaria; Spanish Institute of Oceanography; Spanish Institute of Oceanography</t>
  </si>
  <si>
    <t>Univ Las Palmas Gran Canaria, Fac Ciencias Mar, E-35017 Las Palmas Gran Canaria, Spain.</t>
  </si>
  <si>
    <t>ahernandez@dfis.ulpgc.es</t>
  </si>
  <si>
    <t>Hernandez-Guerra, Alonso/A-4747-2008; Nuez, Eugenio Fraile/R-2258-2019; Velez-Belchi, Pedro/I-9150-2017; Martinez-Marrero, Antonio/Q-6714-2017</t>
  </si>
  <si>
    <t>Hernandez-Guerra, Alonso/0000-0002-4883-8123; Nuez, Eugenio Fraile/0000-0003-4250-4445; Velez-Belchi, Pedro/0000-0003-2404-5679; Martinez-Marrero, Antonio/0000-0002-2376-1561</t>
  </si>
  <si>
    <t>2169-9275</t>
  </si>
  <si>
    <t>2169-9291</t>
  </si>
  <si>
    <t>J GEOPHYS RES-OCEANS</t>
  </si>
  <si>
    <t>J. Geophys. Res.-Oceans</t>
  </si>
  <si>
    <t>C12</t>
  </si>
  <si>
    <t>C12019</t>
  </si>
  <si>
    <t>10.1029/2005JC003032</t>
  </si>
  <si>
    <t>999CM</t>
  </si>
  <si>
    <t>Bronze, Green Published</t>
  </si>
  <si>
    <t>WOS:000234366300005</t>
  </si>
  <si>
    <t>Olney, MP; Scherer, RP; Bohaty, SM; Harwood, DM</t>
  </si>
  <si>
    <t>Eocene-Oligocene paleoecology and the diatom genus Kisseleviella Sheshukova-Poretskaya from the Victoria Land Basin, Antarctica</t>
  </si>
  <si>
    <t>MARINE MICROPALEONTOLOGY</t>
  </si>
  <si>
    <t>marine diatoms; Antarctica; eocene; oligocene; miocene; taxonomy; endemism; paleoecology</t>
  </si>
  <si>
    <t>EAST ANTARCTICA; BIOSTRATIGRAPHY; GLACIATION; BOUNDARY; PACIFIC; OCEAN; BAY</t>
  </si>
  <si>
    <t>The Cape Roberts Project (CRP) recovered a composite Eocene to lower Miocene stratigraphic sequence from the Victoria Land Basin, Antarctica, which includes four new species, described herein, of the biostratigraphically useful fossil marine diatom genus Kisseleviella. Specimens of this extinct genus occur predominantly in neritic sediments, which along with the chain-forming nature and morphological similarity to extant benthic genera (e.g. Cymatosira) suggest that Kisseleviella was tychopelagic. The species of Kisseleviella described here appear to be endemic to the Antarctic region with an ecological preference for nearshore environments. The polythermal, subpolar glacial regime invoked for the late Eocene-early Miocene may have acted as a significant driver of speciation events in Antarctic Kisseleviella. Phylogenetic analysis of fossil genera such as Kisseleviella allows the development of a neritic biostratigraphic zonation. New taxa formally proposed are: Kisseleviella tricoronata, Kisseleviella cicatricata, Kisseleviella gaster and Kisseleviella faballiforma. (c) 2005 Elsevier B.V. All rights reserved.</t>
  </si>
  <si>
    <t>No Illinois Univ, Dept Geol &amp; Environm Geosci, De Kalb, IL 60115 USA; Univ Calif Santa Cruz, Dept Earth Sci, Santa Cruz, CA 95064 USA; Univ Nebraska, Dept Geosci, Lincoln, NE 68588 USA</t>
  </si>
  <si>
    <t>Northern Illinois University; University of California System; University of California Santa Cruz; University of Nebraska System; University of Nebraska Lincoln</t>
  </si>
  <si>
    <t>No Illinois Univ, Dept Geol &amp; Environm Geosci, De Kalb, IL 60115 USA.</t>
  </si>
  <si>
    <t>matt@geol.niu.edu; reed@niu.edu; sbohaty@es.ucsc.edu; dharwood1@unl.edu</t>
  </si>
  <si>
    <t>0377-8398</t>
  </si>
  <si>
    <t>1872-6186</t>
  </si>
  <si>
    <t>MAR MICROPALEONTOL</t>
  </si>
  <si>
    <t>Mar. Micropaleontol.</t>
  </si>
  <si>
    <t>10.1016/j.marmicro.2005.09.003</t>
  </si>
  <si>
    <t>999DV</t>
  </si>
  <si>
    <t>WOS:000234369800005</t>
  </si>
  <si>
    <t>Saraswat, R; Nigam, R; Weldeab, S; Mackensen, A; Naidu, PD</t>
  </si>
  <si>
    <t>A first look at past sea surface temperatures in the equatorial Indian Ocean from Mg/Ca in foraminifera</t>
  </si>
  <si>
    <t>CLEANING PROCEDURES; ICE CORE; CLIMATE; AGE; DELTA-O-18; SEDIMENTS; PATTERNS; HISTORY; MONSOON; RECORDS</t>
  </si>
  <si>
    <t>Sea surface temperature (SST) for the central equatorial Indian Ocean, has been reconstructed over the last similar to 137 kyr, from Mg/Ca of the planktonic foraminiferal species Globigerinoides ruber. According to our record the equatorial Indian Ocean SST was similar to 2.1 degrees C colder during the last glacial maximum as compared to present times. The data further shows that the surface equatorial Indian Ocean was comparatively warmer during isotopic stage 5e than at present (similar to 29.9 vs similar to 28.5 degrees C). Comparison of the equatorial Indian Ocean SST with the Antarctic delta D and Greenland delta O-18 records, shows that the major high-latitude cooling/warming events are also present in the equatorial Indian Ocean SST variation record. Similarity between the equatorial Indian Ocean SST and the equatorial Pacific SST suggests the possibility of a common mechanism controlling the SSTs in both the equatorial Indian Ocean and the Pacific Ocean.</t>
  </si>
  <si>
    <t>Natl Inst Oceanog, Micropaleontol Lab, Panaji 403004, Goa, India; Univ Bremen, Res Ctr Ocean Margins, Bremen, Germany; Alfred Wegener Inst Polar &amp; Marine Res, D-27568 Bremerhaven, Germany</t>
  </si>
  <si>
    <t>Council of Scientific &amp; Industrial Research (CSIR) - India; CSIR - National Institute of Oceanography (NIO); University of Bremen; Helmholtz Association; Alfred Wegener Institute, Helmholtz Centre for Polar &amp; Marine Research</t>
  </si>
  <si>
    <t>Natl Inst Oceanog, Micropaleontol Lab, Panaji 403004, Goa, India.</t>
  </si>
  <si>
    <t>rajeev@darya.nio.org</t>
  </si>
  <si>
    <t>Saraswat, Rajeev/AAG-5459-2020; Naidu, P. Divakar/C-3366-2009; Naidu, Pothuri Divakar/AAH-1613-2019; Mackensen, Andreas/J-8600-2013</t>
  </si>
  <si>
    <t>Saraswat, Rajeev/0000-0003-2110-2578; Weldeab, Syee/0000-0002-4829-5237; Mackensen, Andreas/0000-0002-5024-4455</t>
  </si>
  <si>
    <t>DEC 17</t>
  </si>
  <si>
    <t>L24605</t>
  </si>
  <si>
    <t>10.1029/2005GL024093</t>
  </si>
  <si>
    <t>998BN</t>
  </si>
  <si>
    <t>Green Published, Bronze</t>
  </si>
  <si>
    <t>WOS:000234293000002</t>
  </si>
  <si>
    <t>Legeais, JF; Speich, S; Arhan, M; Ansorge, I; Fahrbach, E; Garzoli, S; Klepikov, A</t>
  </si>
  <si>
    <t>The baroclinic transport of the Antarctic Circumpolar Current south of Africa</t>
  </si>
  <si>
    <t>DRAKE PASSAGE; WATER MASSES; ATLANTIC; OCEAN; VARIABILITY; FRONTS</t>
  </si>
  <si>
    <t>Five hydrographic transects at nominal longitudes 0 degrees E and 30 degrees E, and fourteen expendable bathythermograph (XBT) sections near the former longitude are used to study the baroclinic transport of the Antarctic Circumpolar Current (ACC) between Africa and Antarctica. The bottom-referenced geostrophic transport between the Subtropical Front and the ACC Southern Boundary is 147 +/- 10 Sv. Estimating the transport from the XBTs using a technique previously employed south of Australia proves delicate because of an irregular bathymetry and water mass variations. It nevertheless confirms ACC transports around 150 Sv. Gathering these and other estimates from the Atlantic sector suggests that, while North Atlantic Deep Water is injected in the current west of 35 degrees W, a partially compensating loss of Deep Circumpolar Water occurs east of this longitude. Another transport increase from 0 degrees E to 30 degrees E might reflect southward transfer across the Subtropical Front south of the Agulhas retroflection.</t>
  </si>
  <si>
    <t>Univ Bretagne Occidentale, CNRS, IFREMER, Lab Phys Oceans, F-29238 Brest 3, France; Univ Cape Town, Dept Oceanog, ZA-7701 Cape Town, Western Cape, South Africa; Alfred Wegener Inst Polar &amp; Marine Res, D-27570 Bremerhaven, Germany; NOAA, Atlantic Oceanog &amp; Marine Lab, Phys Oceanog Div, Miami, FL 33149 USA; Arctic &amp; Antarctic Res Inst, St Petersburg 199397, Russia</t>
  </si>
  <si>
    <t>Centre National de la Recherche Scientifique (CNRS); Ifremer; Institut de Recherche pour le Developpement (IRD); Universite de Bretagne Occidentale; University of Cape Town; Helmholtz Association; Alfred Wegener Institute, Helmholtz Centre for Polar &amp; Marine Research; National Oceanic Atmospheric Admin (NOAA) - USA; Atlantic Oceanographic &amp; Meteorological Laboratory (AOML); Arctic &amp; Antarctic Research Institute</t>
  </si>
  <si>
    <t>Legeais, JF (corresponding author), Univ Bretagne Occidentale, CNRS, IFREMER, Lab Phys Oceans, F-29238 Brest 3, France.</t>
  </si>
  <si>
    <t>speich@univ-brest.fr</t>
  </si>
  <si>
    <t>Speich, Sabrina/L-3780-2014; ANSORGE, ISABELLE/AAY-7396-2020; Garzoli, Silvia/JCP-1471-2023; Garzoli, Silvia/A-3556-2010</t>
  </si>
  <si>
    <t>Speich, Sabrina/0000-0002-5452-8287; Ansorge, Isabelle/0000-0001-7071-8147; Garzoli, Silvia/0000-0003-3553-2253</t>
  </si>
  <si>
    <t>DEC 16</t>
  </si>
  <si>
    <t>L24602</t>
  </si>
  <si>
    <t>10.1029/2005GL023271</t>
  </si>
  <si>
    <t>998BL</t>
  </si>
  <si>
    <t>WOS:000234292800001</t>
  </si>
  <si>
    <t>Zecchinon, L; Oriol, A; Netzel, U; Svennberg, J; Gerardin-Otthiers, N; Feller, G</t>
  </si>
  <si>
    <t>Stability domains, substrate-induced conformational changes, and hinge-bending motions in a psychrophilic phosphoglycerate kinase - A microcalorimetric study</t>
  </si>
  <si>
    <t>JOURNAL OF BIOLOGICAL CHEMISTRY</t>
  </si>
  <si>
    <t>DIFFERENTIAL SCANNING CALORIMETRY; 3-PHOSPHOGLYCERATE KINASE; CIRCULAR-DICHROISM; ALTEROMONAS-HALOPLANCTIS; THERMODYNAMIC STABILITY; LOW-TEMPERATURES; COLD ADAPTATION; ALPHA-AMYLASE; PROTEINS; MOLECULE</t>
  </si>
  <si>
    <t>The cold-active phosphoglycerate kinase from the Antarctic bacterium Pseudomonas sp. TACII18 exhibits two distinct stability domains in the free, open conformation. It is shown that these stability domains do not match the structural N- and C-domains as the heat-stable domain corresponds to about 80 residues of the C-domain, including the nucleotide binding site, whereas the remaining of the protein contributes to the main heat-labile domain. This was demonstrated by spectroscopic and microcalorimetric analyses of the native enzyme, of its mutants, and of the isolated recombinant structural domains. It is proposed that the heat-stable domain provides a compact structure improving the binding affinity of the nucleotide, therefore increasing the catalytic efficiency at low temperatures. Upon substrate binding, the enzyme adopts a uniformly more stable closed conformation. Substrate-induced stability changes suggest that the free energy of ligand binding is converted into an increased conformational stability used to drive the hinge-bending motions and domain closure.</t>
  </si>
  <si>
    <t>Univ Liege, Biochem Lab, Inst Chem B6A, B-4000 Cointe Ougree, Belgium</t>
  </si>
  <si>
    <t>University of Liege</t>
  </si>
  <si>
    <t>Univ Liege, Biochem Lab, Inst Chem B6A, B-4000 Cointe Ougree, Belgium.</t>
  </si>
  <si>
    <t>gfeller@ulg.ac.be</t>
  </si>
  <si>
    <t>AMER SOC BIOCHEMISTRY MOLECULAR BIOLOGY INC</t>
  </si>
  <si>
    <t>BETHESDA</t>
  </si>
  <si>
    <t>9650 ROCKVILLE PIKE, BETHESDA, MD 20814-3996 USA</t>
  </si>
  <si>
    <t>1083-351X</t>
  </si>
  <si>
    <t>J BIOL CHEM</t>
  </si>
  <si>
    <t>J. Biol. Chem.</t>
  </si>
  <si>
    <t>10.1074/jbc.M506464200</t>
  </si>
  <si>
    <t>992EJ</t>
  </si>
  <si>
    <t>hybrid, Green Published</t>
  </si>
  <si>
    <t>WOS:000233866900025</t>
  </si>
  <si>
    <t>Sicre, MA; Labeyrie, L; Ezat, U; Duprat, J; Turon, JL; Schmidt, S; Michel, E; Mazaud, A</t>
  </si>
  <si>
    <t>Mid-latitude Southern Indian Ocean response to Northern Hemisphere Heinrich events</t>
  </si>
  <si>
    <t>EARTH AND PLANETARY SCIENCE LETTERS</t>
  </si>
  <si>
    <t>glacial climate; Southern Indian Ocean; alkenones; foraminifera</t>
  </si>
  <si>
    <t>LONG-CHAIN ALKENONES; ATLANTIC-OCEAN; CLIMATE-CHANGE; ICE-SHEET; SEDIMENTS; RECORDS; SECTOR; OSCILLATIONS; TEMPERATURES; DISCHARGES</t>
  </si>
  <si>
    <t>The lack of temporal resolution and accurate chronology of Southern Ocean marine cores has hampered comparison of glacial millennial-scale oscillations between the Southern Ocean, Antarctic ice and other records from both hemispheres. In this study, glacial climate variability is investigated over the last 50 ka using a multi-proxy approach, A precise chrono-stratigraphy was developed on the high-sedimentation rate core MD94-103 (Indian Southern Ocean, 45 35'S 86 degrees 31'E, 3560 m water depth) by geomagnetic synchronization between the later core and NAPIS75, and C-14 dates, High-resolution time-series of delta O-18 in planktonic foraminifera Globigerina bulloides and Neogloboquadrina pachyderma, and sea surface temperatures (SSTs) estimated from the alkenone U-37(K') index and foraminifera assemblages have been generated, Temporal evolution of the two temperature proxy records is notably different during the last glacial period. While foraminifera data indicate a consistent cooling towards the last glacial maximum, anomalous warm glacial alkenone temperatures suggest a strong advection of (warm) detrital alkenones by surface waters of the Agulhas current. Superimposed to this general trend, during Heinrich events, foraminiferal SSTs point to warmer surface waters, while concurrent alkenone SSTs exhibit apparent coolings probably caused by enhanced local alkenone production. By analogy to modem observations, possible influence of ENSO-like conditions on the subantarctic Southern Ocean SSTs is discussed. (C) 2005 Elsevier B.V. All rights reserved.</t>
  </si>
  <si>
    <t>CNRS, Lab Sci Climat &amp; Environm, Gif Sur Yvette, France; Univ Bordeaux 1, Dept Geol &amp; Oceanog, CNRS, UMR 5805, F-33405 Talence, France</t>
  </si>
  <si>
    <t>CEA; Centre National de la Recherche Scientifique (CNRS); Universite Paris Saclay; Centre National de la Recherche Scientifique (CNRS); CNRS - National Institute for Earth Sciences &amp; Astronomy (INSU); Universite de Bordeaux</t>
  </si>
  <si>
    <t>CNRS, Lab Sci Climat &amp; Environm, Gif Sur Yvette, France.</t>
  </si>
  <si>
    <t>sicre@lsce.cnrs-gif.fr</t>
  </si>
  <si>
    <t>Labeyrie, Laurent Denis/AAV-8405-2021; Schmidt, Sabine/G-1193-2013; Marie-Alexandrine, Sicre/AAR-1516-2020</t>
  </si>
  <si>
    <t>Labeyrie, Laurent Denis/0000-0002-1554-2449; Schmidt, Sabine/0000-0002-5985-9747; Marie-Alexandrine, Sicre/0000-0002-5015-1400</t>
  </si>
  <si>
    <t>0012-821X</t>
  </si>
  <si>
    <t>1385-013X</t>
  </si>
  <si>
    <t>EARTH PLANET SC LETT</t>
  </si>
  <si>
    <t>Earth Planet. Sci. Lett.</t>
  </si>
  <si>
    <t>DEC 15</t>
  </si>
  <si>
    <t>10.1016/j.epsl.2005.09.032</t>
  </si>
  <si>
    <t>995VH</t>
  </si>
  <si>
    <t>WOS:000234132000014</t>
  </si>
  <si>
    <t>Gambaro, A; Manodori, L; Zangrando, R; Cincinelli, A; Capodaglio, G; Cescon, P</t>
  </si>
  <si>
    <t>Atmospheric PCB concentrations at Terra Nova Bay, Antarctica</t>
  </si>
  <si>
    <t>ENVIRONMENTAL SCIENCE &amp; TECHNOLOGY</t>
  </si>
  <si>
    <t>TEMPERATURE-DEPENDENCE; ORGANIC POLLUTANTS; UK ATMOSPHERE; ISLAND; POLYCHLOROBIPHENYLS; CONTAMINATION; PESTICIDES</t>
  </si>
  <si>
    <t>Concentrations of gas-phase polychlorobiphenyls (PCBs) were studied over an austral summer at a site in Terra Nova Bay, Antarctica. Gas-phase concentrations of individual PCB congeners in the atmosphere of Terra Nova Bay ranged from below the detection limit to 0.25 pg m(-3), with a mean concentration of Sigma PCB of 1.06 pg m(-3). The PCB profile was dominated by lower-chlorinated PCB congeners; in fact &gt;78% of the total PCB content was due to congeners with 1-4 chlorine atoms and only about 10% with 5-7 chlorines, whereas higher-chlorinated PCB congeners were below detection limits. The mean Sigma PCB concentration obtained in this study were lower than those reported in previous Antarctic studies. Temporal concentration profiles of Sigma PCB do not correspond to seasonal temperature changes. In consideration of the low PCB concentrations observed, the studies with the wind roses, the regression between In P(PCB) and T-1, and the distribution of congeners, we can hypothesize that PCB local source contributions are not very important, whereas long-distance transport is the prevalent factor bringing PCBs to Terra Nova Bay.</t>
  </si>
  <si>
    <t>Ca Foscari Univ Venice, Dept Environm Sci, I-30123 Venice, Italy; CNR, Inst Dynam Environm Proc, I-30123 Venice, Italy; Univ Florence, Dept Chem, I-50019 Florence, Italy</t>
  </si>
  <si>
    <t>Universita Ca Foscari Venezia; Consiglio Nazionale delle Ricerche (CNR); Istituto per la Dinamica dei Processi Ambientali (IDPA-CNR); University of Florence</t>
  </si>
  <si>
    <t>Gambaro, A (corresponding author), Ca Foscari Univ Venice, Dept Environm Sci, I-30123 Venice, Italy.</t>
  </si>
  <si>
    <t>gambaro@unive.it</t>
  </si>
  <si>
    <t>Cincinelli, Alessandra/A-8468-2011; Capodaglio, Gabriele/D-5295-2014</t>
  </si>
  <si>
    <t>Capodaglio, Gabriele/0000-0002-3689-4865; Cescon, Paolo/0000-0003-1836-6759; Cincinelli, Alessandra/0000-0002-6977-4595</t>
  </si>
  <si>
    <t>AMER CHEMICAL SOC</t>
  </si>
  <si>
    <t>1155 16TH ST, NW, WASHINGTON, DC 20036 USA</t>
  </si>
  <si>
    <t>0013-936X</t>
  </si>
  <si>
    <t>ENVIRON SCI TECHNOL</t>
  </si>
  <si>
    <t>Environ. Sci. Technol.</t>
  </si>
  <si>
    <t>10.1021/es0510921</t>
  </si>
  <si>
    <t>Engineering, Environmental; Environmental Sciences</t>
  </si>
  <si>
    <t>Engineering; Environmental Sciences &amp; Ecology</t>
  </si>
  <si>
    <t>995VU</t>
  </si>
  <si>
    <t>WOS:000234133300008</t>
  </si>
  <si>
    <t>Yada, T; Nakamura, T; Noguchi, T; Matsumoto, N; Kusakabe, M; Hiyagon, H; Ushikubo, T; Sugiura, N; Kojima, H; Takaoka, N</t>
  </si>
  <si>
    <t>Oxygen isotopic and chemical compositions of cosmic spherules collected from the Antarctic ice sheet: Implications for their precursor materials</t>
  </si>
  <si>
    <t>INTERPLANETARY DUST PARTICLES; DEEP-SEA SEDIMENTS; CARBONACEOUS CHONDRITES; SOLAR-SYSTEM; INDIVIDUAL MINERALS; ALLENDE METEORITE; STONY SPHERULES; ACCRETION RATE; TAGISH LAKE; MICROMETEORITES</t>
  </si>
  <si>
    <t>Bulk chemical compositions and oxygen isotopic compositions were analyzed for 48 stony cosmic spherules (melted micrometeorites) collected from the Antarctic ice sheet using electron- and ion-microprobes. No clear correlation was found between their isotopic compositions and textures. The oxygen isotopic compositions showed an extremely wide range from -28 parts per thousand to +93 parts per thousand in delta O-18 and from -2,1 parts per thousand to +13 parts per thousand in Delta O-17. In delta O-18-delta O-17 space, most samples (38 out of 48) plot close to the terrestrial fractionation line, but 7 samples plot along the carbonaceous chondrite anhydrous mineral (CCAM) line. Three samples plot well above the terrestrial fractionation line. One of these has a Delta O-17 of +13 parts per thousand, the largest value ever found in solar system materials. One possible precursor for this spherule could be O-16-poor planetary material that is still unknown as a meteorite. The majority of the remaining spherules are thought to be related to carbonaceous chondrites. Copyright (c) 2005 Elsevier Ltd.</t>
  </si>
  <si>
    <t>Univ Tokyo, Grad Sch Sci, Dept Earth &amp; Planetary Sci, Bunkyo Ku, Tokyo 1130033, Japan; Kyushu Univ, Grad Sch Sci, Dept Earth &amp; Planetary Sci, Fukuoka 8128581, Japan; Ibaraki Univ, Dept Minerals &amp; Biol Sci, Mito, Ibaraki 3108512, Japan; Okayama Univ, Inst Study Earths Interior, Misasa, Tottori 6820193, Japan; Grad Univ Adv Studies, Dept Polar Sci, Natl Inst Polar Res, Itabashi Ku, Tokyo 1738515, Japan</t>
  </si>
  <si>
    <t>University of Tokyo; Kyushu University; Ibaraki University; Okayama University; Research Organization of Information &amp; Systems (ROIS); National Institute of Polar Research (NIPR) - Japan; Graduate University for Advanced Studies - Japan</t>
  </si>
  <si>
    <t>Argonne Natl Lab, Div Mat Sci, 9700 S Cass Ave, Argonne, IL 60439 USA.</t>
  </si>
  <si>
    <t>yada@anl.gov</t>
  </si>
  <si>
    <t>Noguchi, Takaaki/IWV-1123-2023; Kusakabe, Minoru/Q-3258-2019; Sugiura, Naoji/A-1855-2009</t>
  </si>
  <si>
    <t>Noguchi, Takaaki/0000-0001-7211-2595; Ushikubo, Takayuki/0000-0002-5934-5076</t>
  </si>
  <si>
    <t>10.1016/j.gca.2005.08.002</t>
  </si>
  <si>
    <t>999TQ</t>
  </si>
  <si>
    <t>WOS:000234413800012</t>
  </si>
  <si>
    <t>Misawa, K; Yamaguchi, A; Kaiden, H</t>
  </si>
  <si>
    <t>U-Pb and 207Pb-206Pb ages of zircons from basaltic eucrites:: Implications for early basaltic volcanism on the eucrite parent body</t>
  </si>
  <si>
    <t>SOLAR-SYSTEM; TH-PB; PARTITION-COEFFICIENTS; THERMAL METAMORPHISM; ISOTOPE SYSTEMATICS; CORE FORMATION; RB-SR; SM-ND; HF; HISTORY</t>
  </si>
  <si>
    <t>We have undertaken petrologic and SHRIMP U-Th-Pb isotopic studies on zircons from basaltic eucrites (Yamato [Y]-75011, Y-792510, Asuka [A]-881388, A-881467 and Padvarninkai) with different thermal and shock histories. Eucritic zircons are associated with ilmenite in most cases and have subhedral shapes in unmetamorphosed and metamorphosed eucrites. Some zircons in highly metamorphosed eucrites with granulitic texture occur alone in pyroxene, and typically have rounded to subrounded shapes due to recrystallization. Superchondritic Zr/Hf ratios of eucritic zircons indicate that they crystallized from incompatible element-rich melts after crystallization of ilmenite. Concentrations of uranium and thorium in zircons in the unmetamorphosed eucrite Y-75011 are higher than those in metamorphosed eucrites. The U-Pb systems of eucritic zircons are almost concordant but some zircon grains show reverse discordance. Radiogenic lead-loss up to 48% from zircons is observed in the shock-melted eucrite Padvarninkai. The Pb-207-Pb-206 ages of zircon in Y-75011 (4550 +/- 9 Ma, n = 5) are nearly identical, within analytical uncertainty, to the ages of zircons from the metamorphosed eucrite Y-792510 (4545 +/- 15 Ma, n = 13), the highly metamorphosed eucrites A-881388 (4555 +/- 54 Ma, n = 5) and A-881467 (4558 +/- 13 Ma, n = 8), and the shock-melted eucrite Padvarninkai (4555 +/- 13 Ma, n = 18). The averaged Pb-207-Pb-206 age of zircon from five eucrites analyzed in this study is 4554 +/- 7 Ma (95% confidence limits, n = 49), indistinguishable from the averaged U-Pb age (4552 9 Ma) of the same samples. Because of the high closure temperature of lead in zircon (T-closure = similar to 1050 degrees C with a cooling rate of 0.2 degrees C/yr), the Pb-207-Pb-206 ages of eucritic zircon do not represent metamorphic ages but crystallization ages of extrusive lavas. This fact strongly suggests that volcanism of the eucrite parent body occurred at a very early stage of the Solar System history, 7-20 Ma after CAI formation (4567.2 +/- 0.6 Ma), thus basaltic eucrites crystallized from parental magmas within a short interval following the differentiation of their parent body. The U-Pb ages of eucritic zircons are older than the U-Pb, Sm-Nd and Rb-Sr ages of some basaltic eucrites, which is consistent with differences in closure temperatures of each isotopic system, and suggests that thermal and shock metamorphism affected the isotopic systems of pyroxene, plagioclase and phosphates. Copyright (c) 2005 Elsevier Ltd.</t>
  </si>
  <si>
    <t>Natl Inst Polar Res, Antarctic Meteorite Res Ctr, Itabashi Ku, Tokyo 1738515, Japan; Grad Univ Adv Studies, Dept Polar Sci, Itabashi Ku, Tokyo 1738515, Japan</t>
  </si>
  <si>
    <t>Research Organization of Information &amp; Systems (ROIS); National Institute of Polar Research (NIPR) - Japan; Graduate University for Advanced Studies - Japan</t>
  </si>
  <si>
    <t>Natl Inst Polar Res, Antarctic Meteorite Res Ctr, Itabashi Ku, 1-9-10 Kaga, Tokyo 1738515, Japan.</t>
  </si>
  <si>
    <t>misawa@nipr.ac.jp</t>
  </si>
  <si>
    <t>10.1016/j.gca.2005.08.009</t>
  </si>
  <si>
    <t>WOS:000234413800016</t>
  </si>
  <si>
    <t>Hutterli, MA; Raible, CC; Stocker, TF</t>
  </si>
  <si>
    <t>Reconstructing climate variability from Greenland ice sheet accumulation: An ERA40 study</t>
  </si>
  <si>
    <t>NORTH-ATLANTIC OSCILLATION; SNOW ACCUMULATION; REGIMES; PRECIPITATION; DYNAMICS; FIELDS; MODEL</t>
  </si>
  <si>
    <t>Re-analysis data covering the period 1958 - 2001 are used to investigate the relationship between regional, inter-annual snow accumulation variability over the Greenland Ice Sheet (GrIS) and large scale circulation patterns, cyclone frequency, and strength. Four regions of the GrIS have been identified that are highly independent with respect to accumulation variability. Accumulation indices of three of these regions are associated with distinct large-scale circulation patterns: Central-western GrIS reveals an inverse relationship with a NAO-like pattern, the south-west a positive correlation with a high pressure bridge from central North Atlantic to Scandinavia, and the south-eastern GrIS a positive correlation with a high-pressure anomaly over the Greenland Sea. These large-scale patterns also impact European climate in different ways. Accumulation variability in north-eastern GrIS, however, is dominated by cyclones originating from the Greenland Sea. Thus, Greenland ice core accumulation records offer the potential to reconstruct various large-scale circulation patterns and regional storm activity.</t>
  </si>
  <si>
    <t>Univ Bern, Inst Phys, CH-3012 Bern, Switzerland</t>
  </si>
  <si>
    <t>University of Bern</t>
  </si>
  <si>
    <t>British Antarctic Survey, High Cross,Madingley Rd, Cambridge CB3 0ET, England.</t>
  </si>
  <si>
    <t>mahut@bas.ac.uk</t>
  </si>
  <si>
    <t>Stocker, Thomas F/B-1273-2013; Raible, Christoph/M-8309-2016</t>
  </si>
  <si>
    <t>Raible, Christoph/0000-0003-0176-0602</t>
  </si>
  <si>
    <t>DEC 14</t>
  </si>
  <si>
    <t>L23712</t>
  </si>
  <si>
    <t>10.1029/2005GL024745</t>
  </si>
  <si>
    <t>998BI</t>
  </si>
  <si>
    <t>WOS:000234292500010</t>
  </si>
  <si>
    <t>King, MD; France, JL; Fisher, FN; Beine, HJ</t>
  </si>
  <si>
    <t>Measurement and modelling of UV radiation penetration and photolysis rates of nitrate and hydrogen peroxide in Antarctic sea ice: An estimate of the production rate of hydroxyl radicals in first-year sea ice</t>
  </si>
  <si>
    <t>JOURNAL OF PHOTOCHEMISTRY AND PHOTOBIOLOGY A-CHEMISTRY</t>
  </si>
  <si>
    <t>ice; sea ice; snow; nitrate; hydrogen peroxide; OH; irradiance; actinic flux; Antarctica</t>
  </si>
  <si>
    <t>BOUNDARY-LAYER; CARBONYL-COMPOUNDS; PHOTOCHEMICAL PRODUCTION; OPTICAL-PROPERTIES; NITROGEN-DIOXIDE; NO2 PRODUCTION; SNOW; SUMMIT; ATMOSPHERE; LIGHT</t>
  </si>
  <si>
    <t>Sea ice may be an oxidising medium owing to sunlight-driven reactions occurring within the ice. UV light transmission and albedo (320-450 nm) are reported for first-year sea ice in Terra Nova Bay, Antarctica, in conjunction with depth integrated photolysis rates for OH radical production from photolysis of hydrogen peroxide (H2O2) and nitrate anion (NO3). The albedo is 0.70-0.75 and the transmission is characterised by an e-folding depth of similar to 50 cm, or an extinction coefficient of similar to 2m(-1). A coupled atmosphere-snowpack radiation-transfer model (TUV-snow) was applied to the experimental measurements so that scattering and absorption cross-sections of the ice could be deduced. These cross-sections were used to model actinic flux (spherical irradiance) profiles in the ice, and thus illustrate the enhancement of actinic flux around a depth of 10 cm in the sea ice for zenith angles smaller than 50 degrees. The actinic flux-depth profiles demonstrate how extinction coefficients (measured at solar zenith angles greater than 50 degrees) for the top 10-20 cm of sea ice are much larger than extinction coefficients measured deeper in the ice. The TUV model was also used to calculate photolysis frequencies for nitrate anions and hydrogen peroxide, which produce hydroxyl radicals within the sea ice. The depth integrated photolysis rate of hydrogen peroxide is an order of magnitude larger than the depth integrated photolysis rate of nitrate. However, the low concentrations of hydrogen peroxide in sea water and ice relative to nitrate result in a higher rate of production of OH radicals for nitrate than hydrogen peroxide. Approximate upper limits for depth integrated rate of production OH from nitrate photolysis in a I m deep sea ice block were found to be 0.06-2 mu mol m(-2) h(-1) for solar zenith angles of 85-45 degrees, respectively. The depth integrated production rate of OH radical from hydrogen peroxide photolysis is 0.01-0.3 mu mol m(-2) h(-1) for solar zenith angles of 85-45 degrees, respectively. Photolysis of nitrate in ice is an efficient route to the production of hydroxyl radicals and an oxidising ice. It must be stressed that these depth integrated rates of production are, however, approximate upper limits because the low porosity and the microphysical, chemical and photochemical process occurring in sea ice may reduce the depth integrated rate of production. In conclusion we suggest that first-year sea ice may be an efficient medium for photochemistry and that 85% of ice photochemistry may occur in the top 1 m of sea ice, assurning that the concentration of chromophore (nitrate or hydrogen peroxide) and photochemical efficiency are independent of depth in the sea ice. (c) 2005 Elsevier B.V. All rights reserved.</t>
  </si>
  <si>
    <t>Royal Holloway Univ London, Dept Geol, Egham TW20 0EX, Surrey, England; Kings Coll London, Dept Chem, London WC2R 2LS, England; CNR IIA, Inst Atmospher Pollut, I-00016 Rome, Italy</t>
  </si>
  <si>
    <t>University of London; Royal Holloway University London; University of London; King's College London; Consiglio Nazionale delle Ricerche (CNR); Istituto Sull'inquinamento Atmosferico (IIA-CNR)</t>
  </si>
  <si>
    <t>Royal Holloway Univ London, Dept Geol, Egham TW20 0EX, Surrey, England.</t>
  </si>
  <si>
    <t>m.king@gl.rhul.ac.uk</t>
  </si>
  <si>
    <t>France, James/A-7885-2012; King, Martin/B-1308-2009; France, James/L-9719-2015</t>
  </si>
  <si>
    <t>King, Martin/0000-0002-0089-7693; France, James/0000-0002-8785-1240</t>
  </si>
  <si>
    <t>ELSEVIER SCIENCE SA</t>
  </si>
  <si>
    <t>LAUSANNE</t>
  </si>
  <si>
    <t>PO BOX 564, 1001 LAUSANNE, SWITZERLAND</t>
  </si>
  <si>
    <t>1010-6030</t>
  </si>
  <si>
    <t>1873-2666</t>
  </si>
  <si>
    <t>J PHOTOCH PHOTOBIO A</t>
  </si>
  <si>
    <t>J. Photochem. Photobiol. A-Chem.</t>
  </si>
  <si>
    <t>10.1016/j.jphotochem.2005.08.032</t>
  </si>
  <si>
    <t>Chemistry, Physical</t>
  </si>
  <si>
    <t>991BQ</t>
  </si>
  <si>
    <t>WOS:000233787600004</t>
  </si>
  <si>
    <t>Crucifix, M</t>
  </si>
  <si>
    <t>Distribution of carbon isotopes in the glacial ocean: A model study</t>
  </si>
  <si>
    <t>PALEOCEANOGRAPHY</t>
  </si>
  <si>
    <t>ATLANTIC DEEP-WATER; NORTH-ATLANTIC; CIRCULATION CHANGES; RADIOCARBON AGES; VENTILATION; PACIFIC; SEA; ICE; TEMPERATURE; SEAWATER</t>
  </si>
  <si>
    <t>A series of simulations are conducted with a global climate model of intermediate complexity (MoBidiC). This model includes ocean circulation dynamics, including the carbon cycle, coupled to a zonally averaged atmosphere. Oceanic distributions of nutrients, apparent oxygen utilization, radiocarbon, and carbon 13 are discussed for the preindustrial era (validation) as well as three states of the glacial ocean, termed interstadial (very active formation of deep water in the North Atlantic Ocean), stadial (moderate convection and important flow of Antarctic Deep Water in the Atlantic), and Heinrich (no formation of North Atlantic Deep Water). The stadial and interstadial states are stable. The Heinrich state is forced by a continuous freshwater discharge into the North Atlantic. The model exhibits significant changes in the isotopic composition of the ocean between the three modeled glacial states. Results for delta C-13 tend to be in qualitative agreement with paleoceanographic data, except that the model fails at representing the strong depletion in delta C-13 in the Southern Ocean. The Heinrich Atlantic Ocean is older than the stadial ocean at all depths (up to 1500 years). The interstadial ocean has younger deep water and older intermediate water than the stadial. It is recognized that the simulated changes in intermediate water age are less reliable because of the structure of the model. Color tracers are used to show that changes in the isotopic composition of Atlantic bottom water are mainly related to a redistribution of water masses. A simple method is tested, by which it is possible to reconstruct the North Atlantic water flow from the zonal profiles of salinity and D 14 C. Finally, dividing artificially the gas exchange rate in the Southern Ocean by four results in a 0.4% decrease in the delta C-13 of Antarctic Bottom Water. Changes in new production are, comparatively, less effective at altering the delta 13C ratio.</t>
  </si>
  <si>
    <t>Inst Astron &amp; Geophys G Lemaitre, Louvain, Belgium</t>
  </si>
  <si>
    <t>Hadley Ctr Climate Predict &amp; Res, Met Off, Exeter EX1 3PB, Devon, England.</t>
  </si>
  <si>
    <t>michel.crucifix@metoffice.gov.uk</t>
  </si>
  <si>
    <t>0883-8305</t>
  </si>
  <si>
    <t>1944-9186</t>
  </si>
  <si>
    <t>Paleoceanography</t>
  </si>
  <si>
    <t>PA4020</t>
  </si>
  <si>
    <t>10.1029/2005PA001131</t>
  </si>
  <si>
    <t>Geosciences, Multidisciplinary; Oceanography; Paleontology</t>
  </si>
  <si>
    <t>Geology; Oceanography; Paleontology</t>
  </si>
  <si>
    <t>998CU</t>
  </si>
  <si>
    <t>WOS:000234296400001</t>
  </si>
  <si>
    <t>Norkko, J; Norkko, A; Thrush, SF; Cummings, VJ</t>
  </si>
  <si>
    <t>Detecting growth under environmental extremes: Spatial and temporal patterns in nucleic acid ratios in two Antarctic bivalves</t>
  </si>
  <si>
    <t>JOURNAL OF EXPERIMENTAL MARINE BIOLOGY AND ECOLOGY</t>
  </si>
  <si>
    <t>Adamussium colbecki; food availability; Laternula elliptica; nucleic acid ratios; primary productivity; RNA</t>
  </si>
  <si>
    <t>SCALLOP ADAMUSSIUM-COLBECKI; KING-GEORGE-ISLAND; TERRA-NOVA BAY; NORTHWESTERN WEDDELL SEA; LATERNULA ELLIPTICA KING; RECEDING ICE-EDGE; ROSS SEA; PROTEIN-SYNTHESIS; MCMURDO SOUND; BIOCHEMICAL INDICATORS</t>
  </si>
  <si>
    <t>Growth of Antarctic benthic organisms is very slow due to temperature and food availability, and subtle differences in growth rate may be difficult to detect. Nucleic acid ratios (RNA/DNA, RNA/protein or total RNA concentration) are measures of protein synthesis potential and may be used to assess short-term growth rate in a range of marine organisms. We quantified nucleic acid ratios in the scallop Adamussium colbecki and the clam Laternula elliptica at five locations in the Ross Sea, Antarctica. We were able to detect species-specific, habitat-specific, and seasonal differences in nucleic acid ratios and related these to associated differences in primary productivity. By using nucleic acid ratios, future studies could relatively easily obtain a measure of growth rate from a multitude of locations with contrasting habitat characteristics, food availability and temperature regimes around the Antarctic continent. This would yield a unique understanding of spatial and temporal patterns in bivalve growth in this extreme environment. (c) 2005 Elsevier B.V. All rights reserved.</t>
  </si>
  <si>
    <t>Natl Inst Water &amp; Atmospher Res, Hamilton, New Zealand; Univ Auckland, Sch Biol Sci, Auckland 1, New Zealand; Natl Inst Water &amp; Atmospher Res, Wellington, New Zealand</t>
  </si>
  <si>
    <t>National Institute of Water &amp; Atmospheric Research (NIWA) - New Zealand; University of Auckland; National Institute of Water &amp; Atmospheric Research (NIWA) - New Zealand</t>
  </si>
  <si>
    <t>Norkko, J (corresponding author), Natl Inst Water &amp; Atmospher Res, POB 11-115, Hamilton, New Zealand.</t>
  </si>
  <si>
    <t>joanna.norkko@fimr.fi</t>
  </si>
  <si>
    <t>Norkko, Alf/K-2341-2019; Norkko, Alf/L-8736-2019; Norkko, Alf/A-1856-2012</t>
  </si>
  <si>
    <t>Cummings, Vonda/0000-0003-1076-3995; Thrush, Simon/0000-0002-4005-3882; Norkko, Joanna/0000-0001-9885-8408; Norkko, Alf/0000-0002-9741-4458</t>
  </si>
  <si>
    <t>0022-0981</t>
  </si>
  <si>
    <t>J EXP MAR BIOL ECOL</t>
  </si>
  <si>
    <t>J. Exp. Mar. Biol. Ecol.</t>
  </si>
  <si>
    <t>DEC 13</t>
  </si>
  <si>
    <t>10.1016/j.jembe.2005.05.014</t>
  </si>
  <si>
    <t>993FX</t>
  </si>
  <si>
    <t>WOS:000233941100003</t>
  </si>
  <si>
    <t>Jain, SL; Ghude, SD; Arya, BC; Kumar, A; Bajaj, MM</t>
  </si>
  <si>
    <t>Signature of increasing total column water vapour and surface temperature at Maitri, Antarctica</t>
  </si>
  <si>
    <t>CURRENT SCIENCE</t>
  </si>
  <si>
    <t>Antarctica; regional warming; surface temperature; water vapour</t>
  </si>
  <si>
    <t>OZONE HOLE; SPLIT</t>
  </si>
  <si>
    <t>Measurement of total column water vapour has been carried out at Maitri (70 degrees 45'S, 11 degrees 44'E), Antarctica using Microtop sun-photometer during the 16th, 21st, 22nd and 23rd Indian Antarctic Scientific Expedition. The annual mean water vapour was found out to be 0.24 cm in 1997, while it was 0.42 cm in 2002 and 0.45 cm in 2003. Monthly mean water vapour was maximum during January in all years studied and increased by 48.8% in 2002, 57.7% in 2003 and 66.6% in 2004, compared to 1997. Total column water vapour corresponding to surface temperature has also been studied. Years 2002 and 2003 were found to be warmer by 11.72 and 4.1% respectively compared to the year 1997. The observation showed signature of increasing total column water vapour at Maitri. Measurement also showed increase in surface temperature and was especially pronounced in the month of January at Maitri. In the present communication, a comparative study of water vapour and surface temperature is discussed in detail.</t>
  </si>
  <si>
    <t>Natl Phys Lab, Radio &amp; Atmospher Sci Div, New Delhi 110012, India; Univ Delhi, Dept Phys &amp; Astrophys, Delhi 110007, India</t>
  </si>
  <si>
    <t>Council of Scientific &amp; Industrial Research (CSIR) - India; CSIR - National Physical Laboratory (NPL); University of Delhi</t>
  </si>
  <si>
    <t>Natl Phys Lab, Radio &amp; Atmospher Sci Div, New Delhi 110012, India.</t>
  </si>
  <si>
    <t>sljain@nplindia.ernet.in</t>
  </si>
  <si>
    <t>INDIAN ACAD SCIENCES</t>
  </si>
  <si>
    <t>BANGALORE</t>
  </si>
  <si>
    <t>C V RAMAN AVENUE, SADASHIVANAGAR, P B #8005, BANGALORE 560 080, INDIA</t>
  </si>
  <si>
    <t>0011-3891</t>
  </si>
  <si>
    <t>CURR SCI INDIA</t>
  </si>
  <si>
    <t>Curr. Sci.</t>
  </si>
  <si>
    <t>DEC 10</t>
  </si>
  <si>
    <t>995GO</t>
  </si>
  <si>
    <t>WOS:000234089000028</t>
  </si>
  <si>
    <t>Zemmelink, HJ; Houghton, L; Dacey, JWH; Worby, AP; Liss, PS</t>
  </si>
  <si>
    <t>Emission of dimethylsulfide from Weddell Sea leads</t>
  </si>
  <si>
    <t>OCEANS; DMSP</t>
  </si>
  <si>
    <t>The distribution of dimethylsulfide (DMS), dimethylsulfoniopropionate ( DMSP) and dimethylsulfoxide ( DMSO) was examined in lead water in pack ice of the Weddell Sea. Samples were taken by pulling water into a syringe from a series of depths from 0.002 m to 4 m and deeper. Concentrations of DMS, DMSP and DMSO remained low throughout the water column relative to surface water, which was highly enriched. Concentrations of the major sulfur compounds increased by over an order of magnitude during periods with smooth surface water conditions. This increase coincided with a profound stratification of the water column, caused by a decrease in salinity of near surface water. We estimate that the DMS emission from leads and open water in Antarctic sea ice could contribute significantly to the yearly DMS flux from the Southern Ocean.</t>
  </si>
  <si>
    <t>Univ E Anglia, Sch Environm Sci, Norwich NR4 7TJ, Norfolk, England; Woods Hole Oceanog Inst, Woods Hole, MA 02543 USA; Australian Antarctic Div, Hobart, Tas 7000, Australia; ACE CRC, Hobart, Tas 7000, Australia</t>
  </si>
  <si>
    <t>University of East Anglia; Woods Hole Oceanographic Institution; Australian Antarctic Division; Antarctic Climate &amp; Ecosystems Cooperative Research Centre (ACE CRC)</t>
  </si>
  <si>
    <t>Zemmelink, HJ (corresponding author), Univ E Anglia, Sch Environm Sci, Norwich NR4 7TJ, Norfolk, England.</t>
  </si>
  <si>
    <t>h.zemmelink@uea.ac.uk</t>
  </si>
  <si>
    <t>Worby, Anthony P/A-2373-2012; LISS, Peter S./A-8219-2013</t>
  </si>
  <si>
    <t>L23610</t>
  </si>
  <si>
    <t>10.1029/2005GL024242</t>
  </si>
  <si>
    <t>997LR</t>
  </si>
  <si>
    <t>WOS:000234247500004</t>
  </si>
  <si>
    <t>Blackhurst, RL; Genge, MJ; Kearsley, AT; Grady, MM</t>
  </si>
  <si>
    <t>Cryptoendolithic alteration of Antarctic sandstones: Pioneers or opportunists?</t>
  </si>
  <si>
    <t>JOURNAL OF GEOPHYSICAL RESEARCH-PLANETS</t>
  </si>
  <si>
    <t>ENDOLITHIC MICROORGANISMS; ROSS DESERT; MARS; MODELS; LIFE</t>
  </si>
  <si>
    <t>[1] The cryptoendolithic habitat of the Antarctic Dry Valleys has been considered a good analogy for past Martian ecosystems, if life arose on the planet. Yet cryptoendoliths are thought to favor the colonization of rocks that have a preexisting porous structure, e. g., sandstones. This may weaken their significance as exact analogues of potential rock-colonizing organisms on Mars, given our current understanding of the dominant volcanic nature of Martian geology. However, the production of oxalic acid, by these lichendominated communities, and its weathering potential indicate that it could be an aid in rock colonization, enabling endoliths to inhabit a wider variety of rock types. Utilizing ICP-AES and scanning electron microscope techniques, this study investigates elemental and mineralogical compositions within colonized and uncolonized layers in individual sandstone samples. This is in order to determine if the weathering of mineral phases within the colonized layers causes an increase in the amount of pore space available for colonization. The results show that colonized layers are more weathered than uncolonized, deeper portions of the rock substrate. Layers within uncolonized samples have uniform compositions. Differences between the colonized and uncolonized layers also occur to varying extents within colonized rocks of different mineralogical maturities. The results confirm that cryptoendoliths modify their habitat through the production of oxalic acid and suggest that over time this directly increases the porosity of their inhabited layer, potentially increasing the biomass it can support.</t>
  </si>
  <si>
    <t>Univ London Imperial Coll Sci Technol &amp; Med, Dept Earth Sci &amp; Engn, IARC, London SW7 2AZ, England; Nat Hist Museum, Dept Mineral, London SW7 5BD, England</t>
  </si>
  <si>
    <t>Imperial College London; Natural History Museum London; Natural History Museum London</t>
  </si>
  <si>
    <t>Univ London Imperial Coll Sci Technol &amp; Med, Dept Earth Sci &amp; Engn, IARC, Exhibit Rd, London SW7 2AZ, England.</t>
  </si>
  <si>
    <t>rebecca.blackhurst@imperial.ac.uk</t>
  </si>
  <si>
    <t>Grady, Monica/0000-0002-4055-533X</t>
  </si>
  <si>
    <t>2169-9097</t>
  </si>
  <si>
    <t>2169-9100</t>
  </si>
  <si>
    <t>J GEOPHYS RES-PLANET</t>
  </si>
  <si>
    <t>J. Geophys. Res.-Planets</t>
  </si>
  <si>
    <t>E12</t>
  </si>
  <si>
    <t>E12S24</t>
  </si>
  <si>
    <t>10.1029/2005JE002463</t>
  </si>
  <si>
    <t>997MJ</t>
  </si>
  <si>
    <t>WOS:000234249300002</t>
  </si>
  <si>
    <t>Morris, RJ; Holdsworth, DA; Murphy, DJ; Monselesan, DM</t>
  </si>
  <si>
    <t>E-region bifurcation and magnetic field related Bragg backscattered spectral events observed at high-latitude by MF radar</t>
  </si>
  <si>
    <t>IONOSPHERE; ECHOES</t>
  </si>
  <si>
    <t>We report on novel spectral characteristics of E-region backscatter acquired using a 1.94 MHz Medium Frequency (MF) radar above the high-latitude Antarctic station Davis (68.6 degrees S). Two distinctive Doppler spectra are observed: one that exhibits bifurcation in Doppler velocity ( or frequency) with one, or occasionally more, near symmetrical spectral side-bands ( here labelled SSE); and a second that exhibits broad-band spectra related to the magnetic field topology ( here labelled FRE). Both spectral forms reveal a characteristic quasi-hyperbolic spectral form that diverges in Doppler velocity with range. We discuss the properties of these two spectral forms including: Doppler spectral shape; power spectra; angle-of-arrival (AOA) of backscattered sources; and their diurnal and day-to-day occurrence distributions for our campaign interval. Interestingly, the E-region SSE observed at a height near 100 km were observed coincidentally with D-region polar mesosphere summer echoes (PMSE) in the height range 82 - 92 km, when colocated data were available.</t>
  </si>
  <si>
    <t>Australian Antarctic Div, Kingston, Tas 7050, Australia; Univ Adelaide, Dept Phys &amp; Math Phys, Adelaide, SA 5005, Australia</t>
  </si>
  <si>
    <t>Australian Antarctic Division; University of Adelaide</t>
  </si>
  <si>
    <t>Morris, RJ (corresponding author), Australian Antarctic Div, Channel Highway, Kingston, Tas 7050, Australia.</t>
  </si>
  <si>
    <t>Monselesan, Didier/A-2327-2012</t>
  </si>
  <si>
    <t>Monselesan, Didier/0000-0002-0310-8995</t>
  </si>
  <si>
    <t>DEC 9</t>
  </si>
  <si>
    <t>L23814</t>
  </si>
  <si>
    <t>10.1029/2005GL024429</t>
  </si>
  <si>
    <t>997LP</t>
  </si>
  <si>
    <t>WOS:000234247200003</t>
  </si>
  <si>
    <t>King, MA; Padman, L</t>
  </si>
  <si>
    <t>Accuracy assessment of ocean tide models around Antarctica</t>
  </si>
  <si>
    <t>ICE</t>
  </si>
  <si>
    <t>Accurate ocean tide models for the circum-Antarctic seas are required to remove unwanted signals from floating ice elevation and space-borne, time-variable gravity measurements ( e. g., GRACE). We present accuracy assessments for several global ( CSR4, FES2004, FES99, GOT00.2, NAO. 99b, TPXO6.2) and Antarctic (CADA00.10 and CATS02.01) ocean tide models using coastal and pelagic tide gauges, gravimetric data and GPS records of ice shelf surface elevation. The accuracies of CSR4 and NAO. 99b are poor in the ice shelf regions. The optimum model for the entire circum-Antarctic seas is TPXO6.2, with a root-mean-square deviation of similar to 5 - 7 cm, similar to 40% lower than the next best model, FES2004. The main exception is the Filchner-Ronne Ice Shelf where CADA00.10 and CATS02.01 most accurately represent observations from two sites near the Rutford Ice Stream grounding line.</t>
  </si>
  <si>
    <t>Newcastle Univ, Sch Civil Engn &amp; Geosci, Newcastle Upon Tyne NE1 7RU, Tyne &amp; Wear, England; Earth &amp; Space Res, Corvallis, OR 97333 USA</t>
  </si>
  <si>
    <t>Newcastle University - UK</t>
  </si>
  <si>
    <t>Newcastle Univ, Sch Civil Engn &amp; Geosci, Cassie Bldg, Newcastle Upon Tyne NE1 7RU, Tyne &amp; Wear, England.</t>
  </si>
  <si>
    <t>m.a.king@ncl.ac.uk</t>
  </si>
  <si>
    <t>Padman, Laurence/AAH-3808-2021; King, Matt/B-4622-2008</t>
  </si>
  <si>
    <t>King, Matt/0000-0001-5611-9498</t>
  </si>
  <si>
    <t>DEC 8</t>
  </si>
  <si>
    <t>L23608</t>
  </si>
  <si>
    <t>10.1029/2005GL023901</t>
  </si>
  <si>
    <t>997LN</t>
  </si>
  <si>
    <t>WOS:000234247000001</t>
  </si>
  <si>
    <t>Stramma, L; Hüttl, S; Schafstall, J</t>
  </si>
  <si>
    <t>Water masses and currents in the upper tropical northeast Atlantic off northwest Africa -: art. no. C12006</t>
  </si>
  <si>
    <t>EQUATORIAL ATLANTIC; CIRCULATION MODEL; SEASONAL-CHANGES; MIXED-LAYER; OCEAN; FLOW; BOUNDARY; PATHWAYS; WAVES; CYCLE</t>
  </si>
  <si>
    <t>[1] Recent current measurements in the tropical eastern North Atlantic reproduce the components of the large scale flow field. However, the observations as well as the 1/12 degrees-FLAME model computations indicate that a lot of eddy scale variability is superimposed on the mean flow field. Despite of the disturbance by variability the signature of the Guinea Dome is well present. In November 2002 the Guinea Dome transport from direct observations was about 2.8 Sv above sigma(theta) = 25.8 kg/m(3) and 4 Sv between sigma(theta) = 25.8 and 27.1 kg/m(3). The oxygen minimum in the shadow zone comprises the central water and the Antarctic Intermediate Water (AAIW) layers and is located between the equatorial current system and the North Equatorial Current. The North Equatorial Counter- and Undercurrents at 3 degrees to 6 degrees N are major oxygen sources for the central water layer of the low-oxygen regions in the northeastern tropical Atlantic. A second, northern North Equatorial Countercurrent (nNECC) band exists at 8 degrees to 10 degrees N. The nNECC carries oxygen rich water from the southern hemisphere eastward but with an admixture of water from the northern hemisphere. A float at 200 m depth was spreading eastward in the North Equatorial Undercurrent (NEUC), at 28 degrees W it shifted northward into the nNECC, and then was trapped in the Guinea Dome region for more than 3 years. The model indicates the region 22 degrees to 32 degrees Was the area of exchange between the NECC/ NEUC and the nNECC bands. In the AAIW layer the northern Intermediate Countercurrent acts as oxygen source for the oxygen minimum zone.</t>
  </si>
  <si>
    <t>Univ Kiel, Leibniz Inst Meereswissensch, IFM GEOMAR, D-24105 Kiel, Germany</t>
  </si>
  <si>
    <t>University of Kiel; Helmholtz Association; GEOMAR Helmholtz Center for Ocean Research Kiel</t>
  </si>
  <si>
    <t>Univ Kiel, Leibniz Inst Meereswissensch, IFM GEOMAR, Dusternbrooker Weg 20, D-24105 Kiel, Germany.</t>
  </si>
  <si>
    <t>lstramma@ifm-geomar.de</t>
  </si>
  <si>
    <t>Stramma, Lothar/0000-0003-1391-4808</t>
  </si>
  <si>
    <t>C12006</t>
  </si>
  <si>
    <t>10.1029/2005JC002939</t>
  </si>
  <si>
    <t>997ME</t>
  </si>
  <si>
    <t>WOS:000234248800002</t>
  </si>
  <si>
    <t>Palo, SE; Forbes, JM; Zhang, X; Russell, JM; Mertens, CJ; Mlynczak, MG; Burns, GB; Espy, PJ; Kawahara, TD</t>
  </si>
  <si>
    <t>Planetary wave coupling from the stratosphere to the thermosphere during the 2002 Southern Hemisphere pre-stratwarm period</t>
  </si>
  <si>
    <t>ROTATIONAL TEMPERATURES; STATION 69-DEGREES-S; 39-DEGREES-E; 78-DEGREES-E</t>
  </si>
  <si>
    <t>Temperature observations between 20 and 120 km from the SABER instrument on the TIMED spacecraft are used to investigate the nature of planetary wave activity during the 60 days prior to the midwinter stratospheric warming that commenced on 26 September, 2002 in the Southern Hemisphere. The primary wave components consist of eastward-propagating quasi-10-day waves with zonal wave numbers s = 1 and s = 2, and a stationary planetary wave with s = 1. The waves are found to extend from the lower stratosphere to the 100 - 120 km height region with surprisingly little amplitude attenuation, although wave amplitudes oscillate with altitude like a standing wave pattern. Time evolution of the waves is also addressed with emphasis on 86 km altitude, where temperature observations from three Antarctic stations at Davis (69 degrees S, 78 degrees W), Rothera ( 68 degrees S, 68 degrees W) and Syowa (69 degrees S, 40 degrees E) are available during the same period. We demonstrate that the temporal evolution of temperature obtained by superposition of the waves derived from SABER measurements accounts for nearly all the temperature variability observed at the longitudes of the three Antarctic stations.</t>
  </si>
  <si>
    <t>Univ Colorado, Dept Aerosp Engn Sci, Boulder, CO 80309 USA; Hampton Univ, Ctr Atmospher Sci, Hampton, VA 23668 USA; NASA, Langley Res Ctr, Hampton, VA 23681 USA; Shinshu Univ, Nagano, Japan; Australian Antarctic Div, Kingston, Tas 7050, Australia; British Antarctic Survey, Cambridge CB3 OET, England</t>
  </si>
  <si>
    <t>University of Colorado System; University of Colorado Boulder; Hampton University; National Aeronautics &amp; Space Administration (NASA); NASA Langley Research Center; Shinshu University; Australian Antarctic Division; UK Research &amp; Innovation (UKRI); Natural Environment Research Council (NERC); NERC British Antarctic Survey</t>
  </si>
  <si>
    <t>Univ Colorado, Dept Aerosp Engn Sci, Campus Box 429, Boulder, CO 80309 USA.</t>
  </si>
  <si>
    <t>scott.palo@colorado.edu</t>
  </si>
  <si>
    <t>Forbes, Jeffrey M/B-7234-2016; Mlynczak, Martin/K-3396-2012</t>
  </si>
  <si>
    <t>Forbes, Jeffrey M/0000-0001-6937-0796; PALO, SCOTT/0000-0002-4729-4929</t>
  </si>
  <si>
    <t>DEC 7</t>
  </si>
  <si>
    <t>L23809</t>
  </si>
  <si>
    <t>10.1029/2005GL024298</t>
  </si>
  <si>
    <t>997LL</t>
  </si>
  <si>
    <t>WOS:000234246800006</t>
  </si>
  <si>
    <t>Schenk, T; Csatho, B; van der Veen, CJ; Brecher, H; Ahn, Y; Yoon, T</t>
  </si>
  <si>
    <t>Registering imagery to ICESat data for measuring elevation changes on Byrd Glacier, Antarctica</t>
  </si>
  <si>
    <t>MASS-BALANCE; POLAR ICE</t>
  </si>
  <si>
    <t>We present a new approach to derive control information from ICESat data that enables rigorous registration of aerial and satellite imagery. The technique, based on matching terrain features identified from ICESat measurements and aerial imagery, opens the door to transform results of previous studies to a global reference frame. We demonstrate the proposed methodology with historical aerial photographs to determine surface changes between 1979 and 2004 over Byrd Glacier. This is important because there is no satellite radar altimetry coverage south of 81.5 degrees S, which limits mass balance knowledge of outlet glaciers draining the East Antarctic ice sheet through the southern Transantarctic Mountains. Our study indicates that the grounded part of Byrd Glacier is close to being in balance. However, we observe large thinning on the floating part of the glacier, probably induced by increased basal melting.</t>
  </si>
  <si>
    <t>Ohio State Univ, CEEGS Dept, Columbus, OH 43210 USA; Ohio State Univ, Byrd Polar Res Ctr, Columbus, OH 43210 USA; Ohio State Univ, Dept Geol Sci, Columbus, OH 43210 USA</t>
  </si>
  <si>
    <t>University System of Ohio; Ohio State University; University System of Ohio; Ohio State University; University System of Ohio; Ohio State University</t>
  </si>
  <si>
    <t>Schenk, T (corresponding author), Ohio State Univ, CEEGS Dept, 2070 Neil Ave, Columbus, OH 43210 USA.</t>
  </si>
  <si>
    <t>schenk.2@osu.edu</t>
  </si>
  <si>
    <t>Csatho, Beata/KGK-9301-2024</t>
  </si>
  <si>
    <t>Ahn, Yushin/0000-0002-5305-6396</t>
  </si>
  <si>
    <t>L23S05</t>
  </si>
  <si>
    <t>10.1029/2005GL024328</t>
  </si>
  <si>
    <t>WOS:000234246800007</t>
  </si>
  <si>
    <t>Gabric, AJ; Shephard, JM; Knight, JM; Jones, G; Trevena, AJ</t>
  </si>
  <si>
    <t>Correlations between the satellite-derived seasonal cycles of phytoplankton biomass and aerosol optical depth in the Southern Ocean: Evidence for the influence of sea ice</t>
  </si>
  <si>
    <t>COASTAL ANTARCTIC AEROSOL; DIMETHYL SULFIDE; SALT SULFATE; SIZE DISTRIBUTIONS; ATMOSPHERIC SULFUR; ALGAL PRODUCTION; IRON; METHANESULFONATE; NUTRIENTS; NITROGEN</t>
  </si>
  <si>
    <t>The relationship between the production of dimethylsulfide (DMS) in the upper ocean and atmospheric sulfate aerosols has been confirmed through local shipboard measurements, and global modeling studies alike. In order to examine whether such a connection may be recoverable in the satellite record, we have analyzed the correlation between mean surface chlorophyll (CHL) and aerosol optical depth (AOD) in the Southern Ocean, where the marine atmosphere is relatively remote from anthropogenic and continental influences. We carried out the analysis in 5-degree zonal bands between 50 degrees S and 70 degrees S, for the period ( 1997 - 2004), and in smaller meridional sectors in the Eastern Antarctic, Ross and Weddell seas. Seasonality is moderate to strong in both CHL and AOD signatures throughout the study regions. Coherence in the CHL and AOD time series is strong in the band between 50 degrees S and 60 degrees S, however this synchrony is absent in the sea-ice zone (SIZ) south of 60 degrees S. Marked interannual variability in CHL occurs south of 60 degrees S, presumably related to variability in sea-ice production during the previous winter. We find a clear latitudinal difference in the cross correlation between CHL and AOD, with the AOD peak preceding the CHL bloom by up to 6 weeks in the SIZ. This suggests that substantial trace gas emissions ( aerosol precursors) are being produced over the SIZ in spring ( October - December) as sea ice melts. This hypothesis is supported by field data that record extremely high levels of sulfur species in sea ice, surface seawater, and the overlying atmosphere during ice melt.</t>
  </si>
  <si>
    <t>Griffith Univ, Australian Sch Environm Studies, Brisbane, Qld 4111, Australia; Univ Queensland, Sch Geog Planning &amp; Architecture, St Lucia, Qld 4072, Australia; So Cross Univ, Sch Environm Sci &amp; Management, Lismore, NSW, Australia</t>
  </si>
  <si>
    <t>Griffith University; University of Queensland; Southern Cross University</t>
  </si>
  <si>
    <t>Gabric, AJ (corresponding author), Griffith Univ, Australian Sch Environm Studies, Nathan Campus,Kessels Rd, Brisbane, Qld 4111, Australia.</t>
  </si>
  <si>
    <t>a.gabric@griffith.edu.au</t>
  </si>
  <si>
    <t>Gabric, Albert J/S-1551-2017; Knight, Jonathan/G-3015-2011</t>
  </si>
  <si>
    <t>Shephard, Jill/0000-0002-4418-9891; Jones, Graham/0000-0002-2815-6395; Knight, Jonathan/0000-0002-9009-0980</t>
  </si>
  <si>
    <t>GB4018</t>
  </si>
  <si>
    <t>10.1029/2005GB002546</t>
  </si>
  <si>
    <t>997LU</t>
  </si>
  <si>
    <t>WOS:000234247800002</t>
  </si>
  <si>
    <t>Cook, LG; Crisp, MD</t>
  </si>
  <si>
    <t>Not so ancient:: the extant crown group of Nothofagus represents a post-Gondwanan radiation</t>
  </si>
  <si>
    <t>PROCEEDINGS OF THE ROYAL SOCIETY B-BIOLOGICAL SCIENCES</t>
  </si>
  <si>
    <t>biogeography; molecular dating; dispersal; vicariance; Gondwana; Nothofagus</t>
  </si>
  <si>
    <t>EVOLUTION; BIOGEOGRAPHY; DIVERGENCE; SEQUENCE; PLANT; RATES; FLORA; PHYLOGENY; RECORD; SPACER</t>
  </si>
  <si>
    <t>This study uses a molecular-dating approach to test hypotheses about the biogeography of Nothofagus. The molecular modelling suggests that the present-day subgenera and species date from a radiation that most likely commenced between 55 and 40 Myr ago. This rules out the possibility of a reconciled all-vicariance hypothesis for the biogeography of extant Nothofagus. However, the molecular dates for divergences between Australasian and South American taxa are consistent with the rifting of Australia and South America from Antarctica. The molecular dates further suggest a dispersal of subgenera Lophozonia and Fuscospora between Australia and New Zealand after the onset of the Antarctic Circumpolar Current and west wind drift. It appears likely that the New Caledonian lineage of subgenus Brassospora diverged from the New Guinean lineage elsewhere, prior to colonizing New Caledonia. The molecular approach strongly supports fossil-based estimates that Nothofagus diverged from the rest of Fagales more than 84 Myr ago. However, the mid-Cenozoic estimate for the diversification of the four extant subgenera conflicts with the palynological interpretation because pollen fossils, attributed to all four extant subgenera, were widespread across the Weddellian province of Gondwana about 71 Myr ago. The discrepancy between the pollen and molecular dates exists even when confidence intervals from several sources of error are taken into account. In contrast, the molecular age estimates are consistent with macrofossil dates. The incongruence between pollen fossils and molecular dates could be resolved if the early pollen types represent extinct lineages, with similar types later evolving independently in the extant lineages.</t>
  </si>
  <si>
    <t>Australian Natl Univ, Sch Bot &amp; Zool, Canberra, ACT 0200, Australia</t>
  </si>
  <si>
    <t>Australian Natl Univ, Sch Bot &amp; Zool, Canberra, ACT 0200, Australia.</t>
  </si>
  <si>
    <t>lyn.cook@anu.edu.au</t>
  </si>
  <si>
    <t>Cook, Lyn/G-7336-2012; Crisp, Michael Douglas/A-4888-2008</t>
  </si>
  <si>
    <t>Cook, Lyn/0000-0002-3172-4920; Crisp, Michael Douglas/0000-0002-8255-6349</t>
  </si>
  <si>
    <t>ROYAL SOC</t>
  </si>
  <si>
    <t>0962-8452</t>
  </si>
  <si>
    <t>1471-2954</t>
  </si>
  <si>
    <t>P ROY SOC B-BIOL SCI</t>
  </si>
  <si>
    <t>Proc. R. Soc. B-Biol. Sci.</t>
  </si>
  <si>
    <t>10.1098/rspb.2005.3219</t>
  </si>
  <si>
    <t>990NY</t>
  </si>
  <si>
    <t>WOS:000233751700013</t>
  </si>
  <si>
    <t>Grassi, B; Redaelli, G; Visconti, G</t>
  </si>
  <si>
    <t>Simulation of Polar Antarctic trends: Influence of tropical SST</t>
  </si>
  <si>
    <t>GENERAL-CIRCULATION MODEL; HEMISPHERE CLIMATE-CHANGE; SOUTHERN-HEMISPHERE; OZONE DEPLETION; SURFACE-TEMPERATURE; STRATOSPHERE; OSCILLATION; TROPOSPHERE; ATMOSPHERE; WEATHER</t>
  </si>
  <si>
    <t>The polar Antarctic atmosphere has been recently characterized by a progressive intensification of the circumpolar westerly winds, both in the stratospheric and tropospheric component. We simulate the response of the polar southern hemisphere atmosphere to a prescribed trend of oceanic equatorial temperature to demonstrate a possible link between the progressive warming of tropical sea surface temperature (SST) and Antarctic climate changes in the last decades. Model simulations produce an atmospheric response suggesting an influence of equatorial SST on polar dynamics, particularly during summer months.</t>
  </si>
  <si>
    <t>Univ Aquila, Dept Phys, Coppito, Italy; Univ Siena, I-53100 Siena, Italy; Univ Aquila, CETEMPS, I-67100 Laquila, Italy</t>
  </si>
  <si>
    <t>University of L'Aquila; University of Siena; University of L'Aquila</t>
  </si>
  <si>
    <t>Univ Aquila, Dept Phys, Coppito, Italy.</t>
  </si>
  <si>
    <t>barbara.grassi@aquila.infn.it; redaelli@aquila.infn.it; visconti@aquila.infn.it</t>
  </si>
  <si>
    <t>Redaelli, Gianluca/GZX-3219-2022</t>
  </si>
  <si>
    <t>Redaelli, Gianluca/0000-0002-4449-1513</t>
  </si>
  <si>
    <t>DEC 6</t>
  </si>
  <si>
    <t>L23806</t>
  </si>
  <si>
    <t>10.1029/2005GL023804</t>
  </si>
  <si>
    <t>997LJ</t>
  </si>
  <si>
    <t>WOS:000234246600003</t>
  </si>
  <si>
    <t>Fielman, KT; Marsh, AG</t>
  </si>
  <si>
    <t>Genome complexity and repetitive DNA in metazoans from extreme marine environments</t>
  </si>
  <si>
    <t>GENE</t>
  </si>
  <si>
    <t>cot; Shannon index; genomics; hydrothermal vent; Antarctic</t>
  </si>
  <si>
    <t>SEQUENCE ORGANIZATION; NUCLEOTIDE-SEQUENCES; CELL-SIZE; EVOLUTION; GENE; DYNAMICS; DIVERGENCE; ELEMENTS; GROWTH</t>
  </si>
  <si>
    <t>As genomics converges with ecology and evolution to identify the fundamental linkages between genome structure and function, genome and transcriptome complexity will need to be measured in organisms from more diverse habitats, most often in the absence of complete sequence data. Here, we describe the complexity of ten genomes measured by a novel, high-throughput fluorescence-based kinetic hybridization assay. We applied the Shannon information index, H, and a related, fluorescence-adjusted index, H-f, as unique metrics of the hybridization kinetics to complement the conventional rate constant, k. A strong, positive relationship was present between H-f, and the repetitive DNA content of five eukaryotic genomes previously determined by Cot kinetic analyses (Onchorynchus keta, Ilyanassa obsoleta, Bos taurus, Limulus polyphemus, Saccharyomyces cerevisiae). This relationship was used to characterize the complexity of previously unstudied genomic samples in five metazoan taxa from three marine environments, including deep-sea hydrothermal vents (Alvinella pompejana), the temperate subtidal (Streblospio benedicti), and Antarctic coastal bays (Sterechinus neumayeri, Odontaster validus, Tritonia antarctica). Contrary to the predictions of nucleotypic theory, Antarctic invertebrates consistently had the lowest quantities of repetitive DNA in conjunction with low metabolic rates and highly protracted rates of cell division and larval development. Conversely, hydrothermal vent species with rapid cell division and growth do not have significantly different genome sizes or particularly low amounts of repetitive DNA as compared to non-vent, deep-sea taxa. Furthermore, there appears to be a positive correlation between the temperature at which the most abundant repetitive sequence classes anneal and habitat thermal stability. Thus, our Study reveals a potential shift in repetitive sequence representation between these extreme environments that may be related to genome function in species living at these different thermal regimes. (c) 2005 Elsevier B.V All rights reserved.</t>
  </si>
  <si>
    <t>Univ Delaware, Coll Marine Studies, Lewes, DE 19958 USA</t>
  </si>
  <si>
    <t>University of Delaware</t>
  </si>
  <si>
    <t>Univ Calif Santa Barbara, Dept Ecol Evolut &amp; Marine Biol, Santa Barbara, CA 93106 USA.</t>
  </si>
  <si>
    <t>fielman@lifesci.ucsb.edu; amarsh@udel.edu</t>
  </si>
  <si>
    <t>0378-1119</t>
  </si>
  <si>
    <t>1879-0038</t>
  </si>
  <si>
    <t>Gene</t>
  </si>
  <si>
    <t>DEC 5</t>
  </si>
  <si>
    <t>10.1016/j.gene.2005.06.035</t>
  </si>
  <si>
    <t>Genetics &amp; Heredity</t>
  </si>
  <si>
    <t>989UI</t>
  </si>
  <si>
    <t>WOS:000233699000011</t>
  </si>
  <si>
    <t>Carrington-Smith, D</t>
  </si>
  <si>
    <t>Mawson and Mertz: a re-evaluation of their ill-fated mapping journey during the 1911-1914 Australasian Antarctic Expedition</t>
  </si>
  <si>
    <t>MEDICAL JOURNAL OF AUSTRALIA</t>
  </si>
  <si>
    <t>VITAMIN-A INTOXICATION; HYPERVITAMINOSIS-A; ADULTS</t>
  </si>
  <si>
    <t>During the Australasian Antarctic Expedition of 1911-1914, Douglas Mawson and two companions, Belgrave Ninnis and Xavier Mertz, undertook an ill-fated mapping journey. Ninnis died when he fell down a crevasse, together with the sledge carrying most of their food supplies, and later Mertz became ill and died. Only Mawson returned. In 1969, Cleland and Southcott proposed that Mertz died of vitamin A toxicity and Mawson suffered from the effects of hypervitaminosis A because, with little food left, they were forced to eat their surviving dogs, including the liver. This hypothesis was supported by Shearman in 1978. After re-evaluating this hypothesis, I propose that Mawson and Mertz suffered from the effects of severe food deprivation, not from hypervitaminosis A, and that Mertz died as he was unable to tolerate the change from his usual vegetarian diet to a diet of mainly dog meat. I also suggest that Mertz's condition was aggravated by the psychological stress of being forced to eat the dogs he had cared for for 18 months.</t>
  </si>
  <si>
    <t>POB 1143, Mossman, Qld 4873, Australia.</t>
  </si>
  <si>
    <t>Denise.Carrington-Smith@jcu.edu.au</t>
  </si>
  <si>
    <t>0025-729X</t>
  </si>
  <si>
    <t>1326-5377</t>
  </si>
  <si>
    <t>MED J AUSTRALIA</t>
  </si>
  <si>
    <t>Med. J. Aust.</t>
  </si>
  <si>
    <t>11-12</t>
  </si>
  <si>
    <t>10.5694/j.1326-5377.2005.tb00064.x</t>
  </si>
  <si>
    <t>Medicine, General &amp; Internal</t>
  </si>
  <si>
    <t>General &amp; Internal Medicine</t>
  </si>
  <si>
    <t>999OE</t>
  </si>
  <si>
    <t>WOS:000234398200033</t>
  </si>
  <si>
    <t>Csatho, B; Ahn, Y; Yoon, T; van der Veen, CJ; Vogel, S; Hamilton, G; Morse, D; Smith, B; Spikes, VB</t>
  </si>
  <si>
    <t>ICESat measurements reveal complex pattern of elevation changes on Siple Coast ice streams, Antarctica</t>
  </si>
  <si>
    <t>WEST ANTARCTICA; STAGNATION</t>
  </si>
  <si>
    <t>We compare ICESat data (2003-2004) to airborne laser altimetry data (1997-98 and 1999-2000) to monitor surface changes over portions of Van der Veen (VdVIS), Whillans (WIS) and Kamb ice streams (KIS) in the Ross Embayment of the West Antarctic Ice Sheet. The spatial pattern of detected surface changes is generally consistent with earlier observations. However, important changes have occurred during the past decade. For example, areas on the VdVIS and WIS, where large thinning was detected by the airborne surveys, are now closer to being in balance. The upper trunk of KIS continues to build up with thickening rates reaching 0.4 m/year. Our results provide new evidence that the overall mass balance of the region is becoming more positive, but a significant spatial variability exists. They also demonstrate the potential of ICESat data for detecting spatial patterns of surface elevation change in Antarctica.</t>
  </si>
  <si>
    <t>Ohio State Univ, Byrd Polar Res Ctr, Columbus, OH 43210 USA; Univ Maine, Climate Change Inst, Orono, ME 04469 USA; Univ Texas, Inst Geophys, Austin, TX 78759 USA; Univ Washington, Seattle, WA 98195 USA; Earth Sci Agcy, Stateline, NV 89449 USA</t>
  </si>
  <si>
    <t>University System of Ohio; Ohio State University; University of Maine System; University of Maine Orono; University of Texas System; University of Texas Austin; University of Washington; University of Washington Seattle</t>
  </si>
  <si>
    <t>Csatho, B (corresponding author), Ohio State Univ, Byrd Polar Res Ctr, Columbus, OH 43210 USA.</t>
  </si>
  <si>
    <t>csatho.1@osu.edu</t>
  </si>
  <si>
    <t>Csatho, Beata/KGK-9301-2024; Vogel, Stefan/I-1963-2014; Hamilton, Gordon S/G-1679-2011</t>
  </si>
  <si>
    <t>Vogel, Stefan/0000-0002-4350-7130; Ahn, Yushin/0000-0002-5305-6396</t>
  </si>
  <si>
    <t>DEC 3</t>
  </si>
  <si>
    <t>L23S04</t>
  </si>
  <si>
    <t>10.1029/2005GL024289</t>
  </si>
  <si>
    <t>993EJ</t>
  </si>
  <si>
    <t>WOS:000233936000004</t>
  </si>
  <si>
    <t>Shoosmith, DR; Baringer, MO; Johns, WE</t>
  </si>
  <si>
    <t>A continuous record of Florida Current temperature transport at 27°N -: art. no. L23603</t>
  </si>
  <si>
    <t>CLIMATE; VOLUME</t>
  </si>
  <si>
    <t>As part of a newly funded international program to monitor ocean heat transport at mid-latitudes in the North Atlantic, a continuous estimate of the temperature transport of the Florida Current is required. Since 1982, volume transports have been inferred from voltage measurements monitored by submarine telephone cables across the Straits of Florida. Electromagnetic induction theory suggests that the cable voltage should actually give a more direct measure of conductivity transport than pure volume transport. Due to the strong dependence of conductivity on temperature, this would in theory result in a direct and continuous estimate of the Florida Current temperature transport. This hypothesis is investigated using data from a large number of temperature and velocity sections (58) across the Florida Current at the cable location, leading to a new calibration of the voltage signal for the temperature transport of the Florida Current, crucial for trans-basin heat flux estimates.</t>
  </si>
  <si>
    <t>Univ Miami, Rosenstiel Sch Marine &amp; Atmospher Sci, Miami, FL 33149 USA; NOAA, Atlantic Oceanog &amp; Meteorol Lab, Miami, FL 33149 USA</t>
  </si>
  <si>
    <t>University of Miami; National Oceanic Atmospheric Admin (NOAA) - USA; Atlantic Oceanographic &amp; Meteorological Laboratory (AOML)</t>
  </si>
  <si>
    <t>drsho@bas.ac.uk</t>
  </si>
  <si>
    <t>Baringer, Molly/D-2277-2012</t>
  </si>
  <si>
    <t>Baringer, Molly/0000-0002-8503-5194</t>
  </si>
  <si>
    <t>L23603</t>
  </si>
  <si>
    <t>10.1029/2005GL024075</t>
  </si>
  <si>
    <t>WOS:000233936000002</t>
  </si>
  <si>
    <t>Aoki, S; Rintoul, SR; Ushio, S; Watanabe, S; Bindoff, NL</t>
  </si>
  <si>
    <t>Freshening of the Adelie Land Bottom Water near 140°E -: art. no. L23601</t>
  </si>
  <si>
    <t>WEDDELL SEA; ROSS SEA; OCEAN; VARIABILITY; CIRCULATION; ANTARCTICA</t>
  </si>
  <si>
    <t>Repeat summer hydrographic observations along 140 degrees E are used to document significant changes in the properties of the Adelie Land Bottom Water (ALBW) between the mid-1990s and 2002-2003. Water on the 28.35 kg.m(-3) neutral density surface cooled by 0.2 degrees C and freshened by 0.03 psu between 1994 and 2002. By reoccupying the same stations in the same season, the effects of seasonal variability and spatial variability were minimised allowing the signal of water mass changes to be clearly identified. Comparison of the recent data to high quality historical observations shows that the ALBW also freshened between the late 1960s and the mid-1990s. Although there is insufficient data to construct a continuous time series, the simplest explanation of the observed changes is that there has been a long-term (&gt;30 year) and continuing freshening of the source waters supplying bottom water to the Australian-Antarctic basin.</t>
  </si>
  <si>
    <t>Hokkaido Univ, Inst Low Temp Sci, Kita Ku, Sapporo, Hokkaido 0600819, Japan; Univ Tasmania, Inst Antarctic &amp; So Ocean Studies, Hobart, Tas 7001, Australia; CSIRO Marine Res, Hobart, Tas 7001, Australia; Natl Inst Polar Res, Itabashi Ku, Tokyo 173, Japan; Japan Agcy Marine Earth Sci &amp; Technol, Yokosuka, Kanagawa 2370061, Japan</t>
  </si>
  <si>
    <t>Hokkaido University; University of Tasmania; Commonwealth Scientific &amp; Industrial Research Organisation (CSIRO); Research Organization of Information &amp; Systems (ROIS); National Institute of Polar Research (NIPR) - Japan; Japan Agency for Marine-Earth Science &amp; Technology (JAMSTEC)</t>
  </si>
  <si>
    <t>Hokkaido Univ, Inst Low Temp Sci, Kita Ku, N19W8, Sapporo, Hokkaido 0600819, Japan.</t>
  </si>
  <si>
    <t>shigeru@lowtem.hokudai.ac.jp</t>
  </si>
  <si>
    <t>Bindoff, Nathaniel Lee/IVV-0333-2023; Rintoul, Stephen R/A-1471-2012; Aoki, Shigeru/D-9105-2012; Bindoff, Nathaniel Lee/C-8050-2011</t>
  </si>
  <si>
    <t>Bindoff, Nathaniel Lee/0000-0001-5662-9519; Rintoul, Stephen R/0000-0002-7055-9876; Bindoff, Nathaniel Lee/0000-0001-5662-9519</t>
  </si>
  <si>
    <t>DEC 2</t>
  </si>
  <si>
    <t>L23601</t>
  </si>
  <si>
    <t>10.1029/2005GL024246</t>
  </si>
  <si>
    <t>993EI</t>
  </si>
  <si>
    <t>WOS:000233935800005</t>
  </si>
  <si>
    <t>Sanz, E; Muñoz-Olivas, R; Cámara, C</t>
  </si>
  <si>
    <t>Evaluation of a focused sonication probe for arsenic speciation in environmental and biological samples</t>
  </si>
  <si>
    <t>JOURNAL OF CHROMATOGRAPHY A</t>
  </si>
  <si>
    <t>rice; fish tissue; soil; chicken; arsenic speciation; focused ultrasound probe; HPLC-ICP-MS</t>
  </si>
  <si>
    <t>PERFORMANCE LIQUID-CHROMATOGRAPHY; ION CHROMATOGRAPHY; SEDIMENT SAMPLES; ICP-MS; EXTRACTION; SPECTROMETRY; DIGESTION; METAL; RICE; SOIL</t>
  </si>
  <si>
    <t>Arsenic speciation analysis suffers in general from high sample handling time required by sample preparation. In a previous work, ultrasonic probe has been proved to reduce sample treatment time for arsenic extraction in rice to only a few minutes. Base upon the obtained results, here several extraction media for chicken, fish and soil samples (SEAS G6RD-CT2001-00473) have been studied and evaluated employing the same technique. Chicken sample needed an enzymatic treatment in order to liberate the species linked to the protein matrix. Extraction of the major species in fish, AsB, was quantitatively achieved in water in 1 min. Also 1 min was enough to leach about 85% of species present in soils and sediments, mainly the inorganic ones, using H3PO4. In all cases, no inter-conversion among As species was observed. The five species found in those samples were separated using an improved HPLC-ICP-MS method in only I I min, with detection limits at the ng l(-1) level. The proposed methods were validated by analysing several Certified Reference Materials: SRM 1568a rice flour, CRM-627 tuna fish tissue, SOIL-7 soil and MURST-ISS-A1 Antarctic sediment. (c) 2005 Elsevier B.V All rights reserved.</t>
  </si>
  <si>
    <t>Univ Complutense Madrid, Fac Ciencias Quim, E-28040 Madrid, Spain</t>
  </si>
  <si>
    <t>Complutense University of Madrid</t>
  </si>
  <si>
    <t>Univ Complutense Madrid, Fac Ciencias Quim, Ciudad Univ S-N, E-28040 Madrid, Spain.</t>
  </si>
  <si>
    <t>rimunoz@quim.ucm.es</t>
  </si>
  <si>
    <t>0021-9673</t>
  </si>
  <si>
    <t>1873-3778</t>
  </si>
  <si>
    <t>J CHROMATOGR A</t>
  </si>
  <si>
    <t>J. Chromatogr. A</t>
  </si>
  <si>
    <t>10.1016/j.chroma.2005.08.012</t>
  </si>
  <si>
    <t>Biochemical Research Methods; Chemistry, Analytical</t>
  </si>
  <si>
    <t>Biochemistry &amp; Molecular Biology; Chemistry</t>
  </si>
  <si>
    <t>989KL</t>
  </si>
  <si>
    <t>WOS:000233672400001</t>
  </si>
  <si>
    <t>Samson, CR; Sikes, EL; Howard, WR</t>
  </si>
  <si>
    <t>Deglacial paleoceanographic history of the Bay of Plenty, New Zealand</t>
  </si>
  <si>
    <t>SEA-SURFACE-TEMPERATURE; SOUTHERN INDIAN-OCEAN; YOUNGER DRYAS EVENT; FRANZ-JOSEF-GLACIER; LAST DEGLACIATION; SOUTHWEST PACIFIC; CLIMATE-CHANGE; COLD REVERSAL; ATLANTIC; RECORD</t>
  </si>
  <si>
    <t>[1] We present sea surface temperature (SST) records with centennial-scale resolution from the Bay of Plenty, north of New Zealand. Foraminiferal assemblage-based paleo-SST estimates provide a deglacial record of SST since 16.5 C-14 ka. Average Holocene SSTs are 15.6 degrees C for winter and 20.3 degrees C for summer, whereas average glacial values were 14.2 degrees C for winter and 19.5 degrees C for summer. Compared to modern time, cooling of SSTs at the Last Glacial Maximum (LGM) was similar to 0.9 degrees C in winter and similar to 1.5 degrees C in summer. The shift from glacial to Holocene temperatures began at 14.25 C-14 ka, warming by similar to 2 degrees C until 12.85 C-14 ka when temperatures dipped back to glacial values at 11.65 C-14 ka. The timing of this return to glacial-like SST correlates well with the Antarctic Cold Reversal (ACR) rather than the Younger Dryas and documents that the influence of the ACR extended into the subtropics of the Southern Hemisphere, at least in this region of the southwest Pacific. By 10.55 C-14 ka an SST maximum in summer SSTs of up to 3 degrees C warmer than modern occurred ( similar to 24 degrees C), after which SST dropped, remaining at present-day temperatures since 9.3 C-14 ka. This early Holocene climatic optimum has been widely noted in the Southern Ocean, and this record indicates that this phenomenon also extended into the subtropics to the north of New Zealand.</t>
  </si>
  <si>
    <t>Cooperat Res Ctr Antarctic &amp; So Ocean Environm, Hobart, Tas 7001, Australia; Rutgers State Univ, Inst Marine &amp; Coastal Sci, New Brunswick, NJ 08901 USA</t>
  </si>
  <si>
    <t>Rutgers University System; Rutgers University New Brunswick</t>
  </si>
  <si>
    <t>Univ Tasmania, Dept Zool, GPO Box 252-80, Hobart, Tas 7001, Australia.</t>
  </si>
  <si>
    <t>sikes@imcs.rutgers.edu</t>
  </si>
  <si>
    <t>Sikes, Elisabeth/HPE-8194-2023</t>
  </si>
  <si>
    <t>Sikes, Elisabeth/0000-0003-2900-3283</t>
  </si>
  <si>
    <t>PA4017</t>
  </si>
  <si>
    <t>10.1029/2004PA001088</t>
  </si>
  <si>
    <t>993OX</t>
  </si>
  <si>
    <t>WOS:000233964500001</t>
  </si>
  <si>
    <t>Verheye, HM; Hagen, W; Auel, H; Ekau, W; Loick, N; Rheenen, I; Wencke, P; Jones, S</t>
  </si>
  <si>
    <t>Life strategies, energetics and growth characteristics of Calanoides carinatus (Copepoda) in the Angola-Benguela frontal region</t>
  </si>
  <si>
    <t>AFRICAN JOURNAL OF MARINE SCIENCE</t>
  </si>
  <si>
    <t>Angola-Benguela Front; Calanoides carinatus; diapause; growth rates; lipid content and composition; northern Benguela upwelling; oxygen minimum layer; vertical distribution</t>
  </si>
  <si>
    <t>SHORT-TERM VARIABILITY; UPWELLING SYSTEM; EGG-PRODUCTION; AGULHAS-BANK; HERBIVOROUS COPEPODS; SECONDARY PRODUCTION; ANTARCTIC COPEPODS; HATCHING SUCCESS; SOMATIC GROWTH; ANCHOR STATION</t>
  </si>
  <si>
    <t>Rates of daily egg production, moulting and egg hatching success, as well as total lipid content and composition of Calanoides carinatus, were measured in the region of the southern Angola Current (SAC), the Angola-Benguela Front (ABF) and the coastal upwelling area of the northern Benguela Current (NBC) system during February-March 2002. There were distinct differences in the vertical distribution, growth characteristics, lipid content and composition of populations in the SAC/ABF and NBC regions, indicative of different physiological states. Whereas in the NBC, C. carinatus was actively growing in response to elevated chlorophyll a levels associated with coastal upwelling, it comprised deep-living C5 copepodids with very large wax ester reserves (c. 40-50% dry mass) and extremely low metabolism in the SAC/ABF, suggesting diapause. This study provides the first data on lipid composition (lipid classes, fatty acids and alcohols) of this copepod in the region; in particular, the diapausing C5s contained high levels of long-chain, mono-unsaturated fatty acids (23% of all fatty acids) and alcohols (69% of all fatty alcohols) in addition to trophic markers of diatoms, viz. 16:1(n-7) and 20:5(n-3). Based on total lipid content, the maximum survival time of the diapausal component of C. carinatus was estimated to be 149-192 days, whereas active surface-dwelling C5s and females could not survive for more than 10 days without feeding.</t>
  </si>
  <si>
    <t>Dept Environm Affairs &amp; Tourism, ZA-8012 Cape Town, South Africa; Univ Bremen, FB2, D-28334 Bremen, Germany; ZMT, Ctr Trop Marine Ecol, D-28359 Bremen, Germany; IOW, Baltic Sea Res Inst, D-18119 Rostock, Germany</t>
  </si>
  <si>
    <t>University of Bremen; Leibniz Zentrum fur Marine Tropenforschung (ZMT); Leibniz Institut fur Ostseeforschung Warnemunde</t>
  </si>
  <si>
    <t>Verheye, HM (corresponding author), Dept Environm Affairs &amp; Tourism, Private Bag X2, ZA-8012 Cape Town, South Africa.</t>
  </si>
  <si>
    <t>hverheye@deat.gov.za</t>
  </si>
  <si>
    <t>NATL INQUIRY SERVICES CENTRE PTY LTD</t>
  </si>
  <si>
    <t>GRAHAMSTOWN</t>
  </si>
  <si>
    <t>19 WORCESTER STREET, PO BOX 377, GRAHAMSTOWN 6140, SOUTH AFRICA</t>
  </si>
  <si>
    <t>1814-232X</t>
  </si>
  <si>
    <t>AFR J MAR SCI</t>
  </si>
  <si>
    <t>Afr. J. Mar. Sci.</t>
  </si>
  <si>
    <t>DEC</t>
  </si>
  <si>
    <t>10.2989/18142320509504124</t>
  </si>
  <si>
    <t>011JV</t>
  </si>
  <si>
    <t>WOS:000235265300013</t>
  </si>
  <si>
    <t>Walton, D</t>
  </si>
  <si>
    <t>Judging quality in science</t>
  </si>
  <si>
    <t>ANTARCTIC SCIENCE</t>
  </si>
  <si>
    <t>Editorial Material</t>
  </si>
  <si>
    <t>Walton, David/0000-0002-7103-4043</t>
  </si>
  <si>
    <t>40 WEST 20TH ST, NEW YORK, NY 10011-4211 USA</t>
  </si>
  <si>
    <t>0954-1020</t>
  </si>
  <si>
    <t>ANTARCT SCI</t>
  </si>
  <si>
    <t>Antarct. Sci.</t>
  </si>
  <si>
    <t>10.1017/S0954102005002993</t>
  </si>
  <si>
    <t>Environmental Sciences; Geography, Physical; Geosciences, Multidisciplinary</t>
  </si>
  <si>
    <t>Environmental Sciences &amp; Ecology; Physical Geography; Geology</t>
  </si>
  <si>
    <t>990FE</t>
  </si>
  <si>
    <t>WOS:000233727800001</t>
  </si>
  <si>
    <t>Thiede, J</t>
  </si>
  <si>
    <t>Welcome to a new SCAR - Introduction</t>
  </si>
  <si>
    <t>SCAR, Bremerhaven, Germany</t>
  </si>
  <si>
    <t>Thiede, J (corresponding author), SCAR, Bremerhaven, Germany.</t>
  </si>
  <si>
    <t>Thiede, Jorn/J-5313-2013</t>
  </si>
  <si>
    <t>Thiede, Jorn/0000-0002-3452-2208</t>
  </si>
  <si>
    <t>WOS:000233727800002</t>
  </si>
  <si>
    <t>Wolff, EW</t>
  </si>
  <si>
    <t>Understanding the past - climate history from Antarctica</t>
  </si>
  <si>
    <t>2004 SCAR Open Science Conference</t>
  </si>
  <si>
    <t>JUL, 2004</t>
  </si>
  <si>
    <t>Bremen, GERMANY</t>
  </si>
  <si>
    <t>carbon dioxide; ice chemistry; ice cores; Quaternary; water isotopes</t>
  </si>
  <si>
    <t>DEUTERIUM-EXCESS CORRECTION; ICE CORE RECORDS; ATMOSPHERIC CO2; OCEAN CIRCULATION; GLACIAL CYCLES; GREENLAND; TEMPERATURE; VARIABILITY; VOSTOK; LEAD</t>
  </si>
  <si>
    <t>Antarctic ice cores have become a unique and powerful resource for studies of climate change. They contain information on past climate, on forcing factors such as greenhouse gas concentrations, and on numerous other environmental parameters. For recent centuries, sites with high snow accumulation are chosen. They have, for example, provided the only direct evidence that carbon dioxide concentrations have increased by over 30% over the last two centuries. They have provided key datasets for other greenhouse gases, and for other forcings such as solar and volcanic. Over longer timescales, the Vostok ice core has shown how greenhouse gas concentrations and climate have closely tracked one another over the last 400000 years. Other cores have shown detailed spatial and temporal detail of climate transitions, including the Antarctic response during rapid climate events such as Dansgaard-Oeschger events. The new core from Dome C has extended the range of ice cores back beyond 800000 years, and even older ice could be obtained in future projects.</t>
  </si>
  <si>
    <t>ewwo@bas.ac.uk</t>
  </si>
  <si>
    <t>Wolff, Eric W/D-7925-2014</t>
  </si>
  <si>
    <t>Wolff, Eric W/0000-0002-5914-8531</t>
  </si>
  <si>
    <t>1365-2079</t>
  </si>
  <si>
    <t>10.1017/S0954102005002919</t>
  </si>
  <si>
    <t>WOS:000233727800003</t>
  </si>
  <si>
    <t>Peck, LS</t>
  </si>
  <si>
    <t>Prospects for survival in the Southern Ocean: vulnerability of benthic species to temperature change</t>
  </si>
  <si>
    <t>Antarctic; climate change; extinction; marine; stress; temperature limits</t>
  </si>
  <si>
    <t>BIVALVE LATERNULA-ELLIPTICA; ANTARCTIC BIVALVE; CLIMATE-CHANGE; SIGNY ISLAND; LATITUDINAL VARIATION; REPRODUCTIVE-BIOLOGY; LARVAL DEVELOPMENT; THERMAL TOLERANCE; YOLDIA-EIGHTSI; MCMURDO SOUND</t>
  </si>
  <si>
    <t>Organisms have a limited number of responses that enhance survival in changing environments. They can: 1. Cope within existing physiological flexibility; 2. Adapt to changing conditions; or 3. Migrate to sites that allow survival. Species inhabiting coastal seabed sites around Antarctica have poorer physiological capacities to deal with change than species elsewhere. They die when temperatures are raised by only 5-10 degrees C above the annual average, and many species lose the ability to perform essential functions, e.g. swimming in scallops or burying in infaunal bivalve molluscs when temperatures are raised only 2-3 degrees C. The ability to adapt, or evolve new characters to changing conditions depends, at least in part, on generation time. Antarctic benthic species grow slowly and develop at rates often x5-x10 slower than similar temperate species. They also live to great age, and exhibit deferred maturity. Longer generation times reduce the opportunities to produce novel mutations, and result in poorer capacities to adapt to change. Intrinsic capacities to colonize new sites and migrate away from deteriorating conditions depend on adult abilities to locomote over large distances, or for reproductive stages to drift for extended periods. The slow development of Antarctic benthic species means their larvae do spend extended periods in the water column. However, whereas most continents have coastlines extending over a wide range of latitude, Antarctica is almost circular in outline, is isolated from other oceans by the circumpolar current, and its coastline covers few degrees of latitude. Thus in a warming environment there are fewer places to migrate to. On all three major criteria Antarctic benthic species appear less capable than species elsewhere of responding to change in ways that can enhance survival.</t>
  </si>
  <si>
    <t>lspe@bas.ac.uk</t>
  </si>
  <si>
    <t>10.1017/S0954102005002920</t>
  </si>
  <si>
    <t>WOS:000233727800004</t>
  </si>
  <si>
    <t>Brandt, A</t>
  </si>
  <si>
    <t>Evolution of Antarctic biodiversity in the context of the past: the importance of the Southern Ocean deep sea</t>
  </si>
  <si>
    <t>ANDEEP; deep sea; geological history; marine biodiversity; Southern Ocean</t>
  </si>
  <si>
    <t>SPECIES-DIVERSITY; WEDDELL SEA; MONOTHALAMOUS FORAMINIFERAN; ISOPODA CRUSTACEA; MARINE ISOPODS; PATTERNS; ORIGIN; SCOTIA; BIOGEOGRAPHY; COMMUNITY</t>
  </si>
  <si>
    <t>Present day Southern Ocean benthic biodiversity is the result of climatic changes based on the break-up of Gondwana in the Cretaceous and the Cenozoic and the physiological potential of the fauna to cope with the climatic deterioration. Though many taxa survived the thermal drop in ocean bottom temperatures, zoogeographic ranges changed and some faunal elements even became extinct, e.g. benthic decapods and teleost fish, opening up new ecological niches and the potential for enormous adaptive radiations within some taxa, like the amphipods and isopods (peracarid crustaceans) and notothenioid fish. Ice-sheet extensions and retreats might have enhanced speciation processes as well as eurybathy. Biodiversity on the Antarctic shelf is high within the polychaetes, molluscs, and echinoderms, and within the amphipods and isopods possibly due to the Cenozoic extinction of the benthic decapods. Moreover, some shelf areas are characterized by accumulations of large suspension feeders like poriferans, bryozoans, ascidians, gorgonians, and hydroids. Palaeoclimatic changes also caused that many taxa of the modem, present day Southern Ocean benthic organisms are characterized by gigantism, slow metabolism, longevity, and a reduced number of offspring combined with late maturation. However, our biological knowledge is mainly confined to Southern Ocean shelf organism; we do not know much about the composition, biodiversity and zoogeography of the Southern Ocean deep sea animals. On this background the deep sea expeditions ANDEEP were born and the background and first results of these are presented herein.</t>
  </si>
  <si>
    <t>Univ Hamburg, Inst Zool, D-20146 Hamburg, Germany; Univ Hamburg, Zool Museum, D-20146 Hamburg, Germany</t>
  </si>
  <si>
    <t>University of Hamburg; University of Hamburg</t>
  </si>
  <si>
    <t>Univ Hamburg, Inst Zool, Martin Luther King Pl 3, D-20146 Hamburg, Germany.</t>
  </si>
  <si>
    <t>abrandt@zoologie.uni-hamburg.de</t>
  </si>
  <si>
    <t>Brandt, Angelika/C-1630-2018</t>
  </si>
  <si>
    <t>10.1017/S0954102005002932</t>
  </si>
  <si>
    <t>WOS:000233727800005</t>
  </si>
  <si>
    <t>Wall, DH</t>
  </si>
  <si>
    <t>Biodiversity and ecosystem functioning in terrestrial habitats of Antarctica</t>
  </si>
  <si>
    <t>belowground; biogeochemistry; ecosystem services; global change; soil; species diversity</t>
  </si>
  <si>
    <t>MCMURDO DRY VALLEYS; BELOW-GROUND BIODIVERSITY; SOUTHERN VICTORIA LAND; SOIL BIODIVERSITY; TAYLOR VALLEY; COMMUNITY STRUCTURE; LONG-TERM; ECOLOGICAL RESPONSES; GLOBAL CHANGE; CLIMATE</t>
  </si>
  <si>
    <t>Are we failing to acknowledge the impact of global changes (e.g. UVB, invasive species, climate, land use, atmosphere) on the terrestrial biodiversity and ecosystem processes of Antarctica? Antarctica is considered a pristine environment and has low terrestrial species diversity and trophic complexity, and yet while scientifically possible, we still do not know the number of species, where they are, or how their influence on ecosystem processes (e.g. nutrient cycling, carbon flux, decomposition, feedbacks to climate, hydrology) will be affected by multiple global changes. Increased recognition of human dependence on services provided by biodiversity and ecosystem functioning combined with documented impacts of global change already occurring on Antarctic soil ecosystems, increases the urgency to expand investigations regionally in Antarctica. We cannot measure the effects of global change or sustainably manage Antarctica's future if we underestimate the contribution of soil communities. Evidence indicates habitats of rocky moraines, soils and cyroconite holes of glaciers in the continental interior may host not only microbes, but also a complexity of algae and invertebrates. Scientists of many disciplines, together, need to assess the benefits humans derive from Antarctic terrestrial biodiversity and ecosystem processes, how these will be affected by global change, and link their findings to the rest of the world.</t>
  </si>
  <si>
    <t>Colorado State Univ, Nat Resource Ecol Lab, Ft Collins, CO 80523 USA</t>
  </si>
  <si>
    <t>Colorado State University</t>
  </si>
  <si>
    <t>Colorado State Univ, Nat Resource Ecol Lab, Ft Collins, CO 80523 USA.</t>
  </si>
  <si>
    <t>Diana@nrel.colostate.edu</t>
  </si>
  <si>
    <t>Wall, Diana H/F-5491-2011</t>
  </si>
  <si>
    <t>10.1017/S0954102005002944</t>
  </si>
  <si>
    <t>WOS:000233727800006</t>
  </si>
  <si>
    <t>Boebel, O; Clarkson, P; Coates, R; Larter, R; O'Brien, PE; Ploetz, J; Summerhayes, C; Tyack, T; Walton, DWH; Wartzok, D</t>
  </si>
  <si>
    <t>Scar Action Grp Impacts Acoustic T</t>
  </si>
  <si>
    <t>Risks posed to the Antarctic marine environment by acoustic instruments: a structured analysis</t>
  </si>
  <si>
    <t>echo sounders; marine surveys; risk analysis; seismic reflection</t>
  </si>
  <si>
    <t>SINGLE UNDERWATER IMPULSES; MASKED HEARING THRESHOLDS; BOTTLE-NOSED DOLPHINS; DELPHINAPTERUS-LEUCAS; BEHAVIORAL-RESPONSES; TURSIOPS-TRUNCATUS; TEMPORARY SHIFT; EXPOSURE; WHALES</t>
  </si>
  <si>
    <t>The risks posed by a range of acoustic scientific instruments were assessed by the construction of matrices of scale and likelihood. We recognized six levels of impact ranging from none or short term, minimal behavioural response (Level 1) to multiple injuries and fatalities and/or compromised populations (Level 6) and six levels of likelihood ranging from Expected in almost all instances (Level 1) to cannot see how it could happen (Level 6). Typical scientific instruments ranging from acoustic releases to large air gun arrays were assessed. To provide a perspective for the risks of scientific operations, other activities were also ranked. These included large chemical explosions, submarine detection sonars implicated in some mass strandings of cetaceans and normal Antarctic shipping activities. The conclusion reached was that most scientific instruments pose a similar or lower risk than normal shipping operations. High source-level equipment poses some risk to individual animals' hearing and so should be mitigated. Likewise, survey planning should be designed to avoid trapping animals in narrow, constricted sea ways. Long term, cumulative impacts are still difficult to detect in areas with greater anthropogenic noise than the Antarctic but we concluded that any possible long term impacts should be mitigated by maintaining the low levels of activity using high source-level equipment through data sharing and survey planning.</t>
  </si>
  <si>
    <t>Geosci Australia, Act Grp Chair, Canberra, ACT 2601, Australia</t>
  </si>
  <si>
    <t>Geoscience Australia</t>
  </si>
  <si>
    <t>Geosci Australia, Act Grp Chair, GPO Box 378, Canberra, ACT 2601, Australia.</t>
  </si>
  <si>
    <t>phil.obrien@ga.gov.au</t>
  </si>
  <si>
    <t>Larter, Robert/0000-0002-8414-7389; Walton, David/0000-0002-7103-4043; O'Brien, Philip/0000-0003-3446-3292</t>
  </si>
  <si>
    <t>10.1017/S0954102005002956</t>
  </si>
  <si>
    <t>WOS:000233727800007</t>
  </si>
  <si>
    <t>Ivins, ER; James, TS</t>
  </si>
  <si>
    <t>Antarctic glacial isostatic adjustment: a new assessment</t>
  </si>
  <si>
    <t>Antarctica; glacial isostasy; global geodesy; GRACE satellites; mantle viscosity</t>
  </si>
  <si>
    <t>EUSTATIC SEA-LEVEL; ICE-SHEET; LATE-PLEISTOCENE; WEST ANTARCTICA; EAST ANTARCTICA; MASS-BALANCE; ROSS-SEA; HOLOCENE DEGLACIATION; CLIMATE HISTORY; MELTING HISTORY</t>
  </si>
  <si>
    <t>The prediction of crustal motions and gravity change driven by glacial isostatic adjustment (GIA) in Antarctica is critically dependent on the reconstruction of the configuration and thickness of the ice sheet during the Late Pleistocene and Holocene. The collection and analysis of field data to improve the reconstruction has occurred at an accelerated pace during the past decade. At the same time, space-based imaging and altimetry, combined with on-ice velocity measurements using Global Positioning System (GPS) geodesy, has provided better assessments of the present-day mass balance of the Antarctic ice sheet. Present-day mass change appears to be dominated by deglaciation that is, in large part, a continuation of late-Holocene evolution. Here a new ice load model is constructed, based on a synthesis of the current constraints on past ice history and present-day mass balance. The load is used to predict GIA crustal motion and geoid change. Compared to existing glacioisostatic models, the new ice history model is significantly improved in four aspects: (i) the timing of volume losses in the region ranging from the Ross Sea sector to the Antarctic Peninsula, (ii) the maximum ice heights in parts of the Ellsworth and Transantarctic Mountains, (iii) maximum grounding line position in Pine Island Bay, the Antarctic Peninsula, and in the Ross Sea, (iv) incorporation of present-day net mass balance estimates. The predicted present-day GIA uplift rates peak at 14-18 min yr(-1) and geoid rates peak at 4-5 mm yr(-1) for two contrasting viscosity models. If the asthenosphere underlying West Antarctica has a low viscosity then the predictions could change substantially due to the extreme sensitivity to recent (past two millennia) ice mass variability. Future observations of crustal motion and gravity change will substantially improve the understanding of sub-Antarctic lithospheric and mantle theology.</t>
  </si>
  <si>
    <t>CALTECH, Jet Prop Lab, Pasadena, CA 91109 USA; Geol Survey Canada, Sidney, BC V8L 4B2, Canada</t>
  </si>
  <si>
    <t>National Aeronautics &amp; Space Administration (NASA); NASA Jet Propulsion Laboratory (JPL); California Institute of Technology; Natural Resources Canada; Lands &amp; Minerals Sector - Natural Resources Canada; Geological Survey of Canada</t>
  </si>
  <si>
    <t>CALTECH, Jet Prop Lab, 4800 Oak Grove Dr, Pasadena, CA 91109 USA.</t>
  </si>
  <si>
    <t>eri@fryxell.jpl.nasa.gov</t>
  </si>
  <si>
    <t>James, Thomas/D-9301-2013; Ivins, Erik R/C-2416-2011</t>
  </si>
  <si>
    <t>James, Thomas/0000-0001-7321-047X;</t>
  </si>
  <si>
    <t>10.1017/S0954102005002968</t>
  </si>
  <si>
    <t>WOS:000233727800008</t>
  </si>
  <si>
    <t>Storey, JWV</t>
  </si>
  <si>
    <t>Astronomy from Antarctica</t>
  </si>
  <si>
    <t>atmosphere; cosmology; infrared; planets; terahertz; turbulence</t>
  </si>
  <si>
    <t>SOUTH-POLE; DOME-C; SKY BRIGHTNESS; TURBULENCE; PLATEAU</t>
  </si>
  <si>
    <t>Astronomers have always sought the very best locations for their telescopes. From observatories in city centres, astronomers moved first to nearby mountain tops, then to remote sites in distant countries, to aircraft, and into space. In the past decade we have come to realize that the best astronomical observing conditions on the surface of the earth are to be found on the Antarctic plateau. The combination of high altitude, low temperature, low absolute humidity, low wind and extremely stable atmosphere offers astronomers gains in sensitivity and measurement precision that can exceed two orders of magnitude over even the best temperate sites. In addition, spectral windows are opened up-particularly in the far-infrared and terahertz regions-that are otherwise only accessible from high-flying aircraft or from space. Established and highly successful telescopes at the South Pole are soon to be joined by a new generation of facilities at Concordia Station, including large telescopes and interferometers. It has even been suggested that the largest optical telescopes currently proposed, with diameters of up to 100 in, might achieve their science goals at a lower overall cost if they are built on the Antarctic plateau rather than at a temperate site. Such telescopes offer the possibility of not only detecting earth-like planets in other star systems, but also of analysing their atmospheres spectroscopically.</t>
  </si>
  <si>
    <t>Univ New S Wales, Sch Phys, Sydney, NSW 2052, Australia</t>
  </si>
  <si>
    <t>Univ New S Wales, Sch Phys, Sydney, NSW 2052, Australia.</t>
  </si>
  <si>
    <t>10.1017/S095410200500297X</t>
  </si>
  <si>
    <t>WOS:000233727800009</t>
  </si>
  <si>
    <t>Rapley, CG</t>
  </si>
  <si>
    <t>ICSU IPY 2007-2008 Planning Grp</t>
  </si>
  <si>
    <t>The International Polar Year 2007-2008: planning for a new phase of polar exploration and understanding</t>
  </si>
  <si>
    <t>Arctic; Antarctica; interdisciplinary studies</t>
  </si>
  <si>
    <t>The concept of the International Polar Year (IPY) 2007-2008 is of an intensive burst of internationally coordinated, interdisciplinary, scientific research and observations focused on the Earth's Polar Regions. The research will address six themes organized around the environmental status of the Polar Regions and their relationship to change, the links between the poles and the rest of the globe, utilization of the unique features of the regions for science, and the human dimensions of communities in the Polar Regions. IPY will seek to exploit new technological and logistical capabilities, and make major advances in knowledge and understanding. Key objectives are to attract and develop the next generation of polar researchers and engineers, and to engage the interest and involvement of polar residents, and of schoolchildren, the general public, and decision makers, worldwide. The official observing period of IPY 2007-2008 will be from 1 March 2007 until 1 March 2009, under the international oversight of a Joint ICSU-WMO Committee.</t>
  </si>
  <si>
    <t>Rapley, CG (corresponding author), British Antarctic Survey, NERC, Madingley Rd, Cambridge CB3 0ET, England.</t>
  </si>
  <si>
    <t>c.rapley@bas.ac.uk</t>
  </si>
  <si>
    <t>10.1017/S0954102005002981</t>
  </si>
  <si>
    <t>WOS:000233727800010</t>
  </si>
  <si>
    <t>Lozupone, C; Knight, R</t>
  </si>
  <si>
    <t>UniFrac: a new phylogenetic method for comparing microbial communities</t>
  </si>
  <si>
    <t>APPLIED AND ENVIRONMENTAL MICROBIOLOGY</t>
  </si>
  <si>
    <t>SEA-ICE; BACTERIAL COMMUNITIES; DIVERSITY; BACTERIOPLANKTON; WATER; BIODIVERSITY; BIOGEOGRAPHY; POPULATIONS; ATLANTIC</t>
  </si>
  <si>
    <t>We introduce here a new method for computing differences between microbial communities based on phylogenetic information. This method, UniFrac, measures the phylogenetic distance between sets of taxa in a phylogenetic tree as the fraction of the branch length of the tree that leads to descendants from either one environment or the other, but not both. UniFrac can be used to determine whether communities are significantly different, to compare many communities simultaneously using clustering and ordination techniques, and to measure the relative contributions of different factors, such as chemistry and geography, to similarities between samples. We demonstrate the utility of UniFrac by applying it to published 16S rRNA gene libraries from cultured isolates and environmental clones of bacteria in marine sediment, water, and ice. Our results reveal that (i) cultured isolates from ice, water, and sediment resemble each other and environmental clone sequences from sea ice, but not environmental clone sequences from sediment and water; (ii) the geographical location does not correlate strongly with bacterial community differences in ice and sediment from the Arctic and Antarctic; and (iii) bacterial communities differ between terrestrially impacted seawater (whether polar or temperate) and warm oligotrophic seawater, whereas those in individual seawater samples are not more similar to each other than to those in sediment or ice samples. These results illustrate that UniFrac provides a new way of characterizing microbial communities, using the wealth of environmental rRNA sequences, and allows quantitative insight into the factors that underlie the distribution of lineages among environments.</t>
  </si>
  <si>
    <t>Univ Colorado, Dept Chem &amp; Biochem, Boulder, CO 80309 USA; Univ Colorado, Dept Mol Cellular &amp; Dev Biol, Boulder, CO 80309 USA</t>
  </si>
  <si>
    <t>University of Colorado System; University of Colorado Boulder; University of Colorado System; University of Colorado Boulder</t>
  </si>
  <si>
    <t>Univ Colorado, Dept Chem &amp; Biochem, Boulder, CO 80309 USA.</t>
  </si>
  <si>
    <t>rob@spot.colorado.edu</t>
  </si>
  <si>
    <t>Lozupone, Catherine/AAD-9317-2020</t>
  </si>
  <si>
    <t>Knight, Rob/0000-0002-0975-9019</t>
  </si>
  <si>
    <t>1752 N ST NW, WASHINGTON, DC 20036-2904 USA</t>
  </si>
  <si>
    <t>0099-2240</t>
  </si>
  <si>
    <t>1098-5336</t>
  </si>
  <si>
    <t>APPL ENVIRON MICROB</t>
  </si>
  <si>
    <t>Appl. Environ. Microbiol.</t>
  </si>
  <si>
    <t>10.1128/AEM.71.12.8228-8235.2005</t>
  </si>
  <si>
    <t>Biotechnology &amp; Applied Microbiology; Microbiology</t>
  </si>
  <si>
    <t>999VB</t>
  </si>
  <si>
    <t>WOS:000234417600073</t>
  </si>
  <si>
    <t>Bhathal, R</t>
  </si>
  <si>
    <t>Australian astronomy looks forward</t>
  </si>
  <si>
    <t>ASTRONOMY &amp; GEOPHYSICS</t>
  </si>
  <si>
    <t>Over the next decade, a new generation of instruments will come into being for the benefit of astronomers across the world. Australian astronomers hope to build on their strong astronomical heritage and continue to take part in astronomy at the highest international level. To this end, they have prepared a Decadal Plan that envisages building, with international partners, a world-class radio telescope, greater invovlement with 8 metre telescopes, as well as making the most of the Antarctic opportunities that Australia offers.</t>
  </si>
  <si>
    <t>Univ Western Sydney, UWS Observ, Sch Engn, Penrith, NSW 1797, Australia</t>
  </si>
  <si>
    <t>Western Sydney University</t>
  </si>
  <si>
    <t>Bhathal, R (corresponding author), Univ Western Sydney, UWS Observ, Sch Engn, Locked Bag 1797, Penrith, NSW 1797, Australia.</t>
  </si>
  <si>
    <t>1366-8781</t>
  </si>
  <si>
    <t>ASTRON GEOPHYS</t>
  </si>
  <si>
    <t>Astron. Geophys.</t>
  </si>
  <si>
    <t>10.1111/j.1468-4004.2005.46635.x</t>
  </si>
  <si>
    <t>Astronomy &amp; Astrophysics; Geochemistry &amp; Geophysics</t>
  </si>
  <si>
    <t>988UY</t>
  </si>
  <si>
    <t>WOS:000233627700023</t>
  </si>
  <si>
    <t>Sarris, A; Kirby, N</t>
  </si>
  <si>
    <t>Antarctica: A study of person-culture fit</t>
  </si>
  <si>
    <t>AUSTRALIAN JOURNAL OF PSYCHOLOGY</t>
  </si>
  <si>
    <t>JOB CHOICE DECISIONS; ORGANIZATION FIT; RELATIONAL DEMOGRAPHY; GROUP COHESIVENESS; DIFFERENCE SCORES; CAREER SUCCESS; SATISFACTION; PEOPLE; RECRUITMENT; PERSPECTIVE</t>
  </si>
  <si>
    <t>This study explored the concept of person-culture fit for men and women working in remote and isolated Australian Antarctic stations. Person-culture fit was assessed in terms of the congruence between perceived Antarctic station values and ideal organisational values. In particular, the study investigated the extent to which congruence between perceived Antarctic station values and ideal organisational values was related to individual attitudes and job outcomes, including, job satisfaction, perceived group cohesion and subjective fit. Participants were 117 men and women who participated in Australian Antarctic expeditions between 1950 and 2000. The results showed that person-culture fit was related to job satisfaction and group cohesion. Person-culture fit and demographic characteristics such as age and gender were also related to subjective fit with Antarctic station culture.</t>
  </si>
  <si>
    <t>Univ Adelaide, Dept Psychol, Adelaide, SA 5005, Australia</t>
  </si>
  <si>
    <t>University of Adelaide</t>
  </si>
  <si>
    <t>Sarris, A (corresponding author), Univ Adelaide, Dept Psychol, Adelaide, SA 5005, Australia.</t>
  </si>
  <si>
    <t>sarris@psychology.adelaide.edu.au</t>
  </si>
  <si>
    <t>WILEY-BLACKWELL</t>
  </si>
  <si>
    <t>0004-9530</t>
  </si>
  <si>
    <t>AUST J PSYCHOL</t>
  </si>
  <si>
    <t>Aust. J. Psychol.</t>
  </si>
  <si>
    <t>10.1080/00049530500125165</t>
  </si>
  <si>
    <t>Psychology, Multidisciplinary</t>
  </si>
  <si>
    <t>Social Science Citation Index (SSCI)</t>
  </si>
  <si>
    <t>Psychology</t>
  </si>
  <si>
    <t>000WN</t>
  </si>
  <si>
    <t>WOS:000234493200003</t>
  </si>
  <si>
    <t>Baker, GB; Wise, BS</t>
  </si>
  <si>
    <t>The impact of pelagic longline fishing on the flesh-footed shearwater Puffinus carneipes in Eastern Australia</t>
  </si>
  <si>
    <t>flesh-footed shearwater; Puffinus carneipes; seabird bycatch; age-structured model; Lord Howe Island</t>
  </si>
  <si>
    <t>TENUIROSTRIS; CONSERVATION; RECRUITMENT; SURVIVAL; FISHERY; AGE; ALBATROSSES; MANAGEMENT; BYCATCH; SUCCESS</t>
  </si>
  <si>
    <t>The flesh-footed shearwater (Puffinus carneipes) is a medium-sized seabird (ca. 700 g) that is incidentally killed during longline fishing operations. We examined the levels of bycatch in Australia's Eastern Tuna and Billfish Fishery and developed a model to examine the impact of this fishery on the eastern Australian population of flesh-footed shearwaters, which breeds at only one site, Lord Howe Island. Observed bycatch rates for flesh-footed shearwaters were 0.378 birds/1000 hooks for night sets, and 0.945 birds/ 1000 hooks for day sets. The mean number of birds killed from 1998 to 2002 was estimated to be 1794-4486 birds per year, with the estimated total killed over this period ranging from 8972 to 18,490 birds. Models incorporating both density-independent and density-dependent scenarios were applied to levels of bycatch representative of that observed in the fishery. Density-independent scenarios showed that fishing mortality levels caused declines in the majority of simulated populations. In contrast, density-dependent scenarios produced populations that were more resilient to fishing mortalities. Although some modelling scenarios led to population growth, under most stochastic simulations median population halving and quasi-extinction times were less than 55 and 120 years, respectively. We conclude that the level of bycatch observed in the fishery is most likely unsustainable and threatens the survival of the Lord Howe Island population. This situation can be improved only with the development and implementation of mitigation measures that will halt or greatly reduce the level of bycatch currently observed. Improved knowledge on a range of demographic parameters for the species, combined with a clearer idea of the at-sea distribution of breeding. and non-breeding shearwaters, will greatly assist in improving understanding and the management of this population. (c) 2005 Elsevier Ltd. All rights reserved.</t>
  </si>
  <si>
    <t>Australian Antarctic Div, Hobart, Tas 7050, Australia; Bur Rural Sci, Barton, ACT 2600, Australia</t>
  </si>
  <si>
    <t>Baker, GB (corresponding author), Australian Antarctic Div, Channel Highway, Hobart, Tas 7050, Australia.</t>
  </si>
  <si>
    <t>Baker, G. Barry/0000-0003-4766-8182</t>
  </si>
  <si>
    <t>10.1016/j.biocon.2005.06.001</t>
  </si>
  <si>
    <t>980DJ</t>
  </si>
  <si>
    <t>WOS:000232993900002</t>
  </si>
  <si>
    <t>Holmes, N; Giese, M; Kriwoken, LK</t>
  </si>
  <si>
    <t>Testing the minimum approach distance guidelines for incubating Royal penguins Eudyptes schlegeli</t>
  </si>
  <si>
    <t>Eudyptes schlegeli; Royal penguins; human disturbance; visitor management; minimum approach distance; heart rate; behaviour</t>
  </si>
  <si>
    <t>BUFFER-ZONE DISTANCES; HUMAN DISTURBANCE; HEART-RATE; PYGOSCELIS-ADELIAE; MACARONI PENGUINS; BEHAVIORAL-RESPONSES; OXYGEN-CONSUMPTION; BREEDING SUCCESS; ANTARCTICA; TOURISM</t>
  </si>
  <si>
    <t>Minimum approach distance guidelines are common tools to maintain a buffer between breeding seabirds and human activity, with the goal of mitigating potentially harmful impacts from these interactions. We employed an experimental design to measure the heart rate and behaviour of Royal penguins on Macquarie Island, Australia, in response to a single pedestrian visit using the current recommended approach distance of 5 m for visitors. Penguins showed increased heart rate (1.23 times average resting heart rate) and vigilance (six-fold increase), suggested to be a precursor to a flight or fight response, however, no penguins fled their nests. These responses were significantly greater than observed during Subantarctic skua overflights, suggesting incubating Royal penguins viewed a single pedestrian at 5 m as a greater threat than a predator overflight. Single persons using the current minimum approach guideline when visiting incubating Royal penguins appear unlikely to elicit responses considered greater than minor or transitory, consistent with activities that are considered acceptable by current management arrangements on Macquarie Island. However, applying this guideline requires caution because the cumulative impacts of visitation are unknown and greater responses may occur with larger group sizes or during different breeding phases. We consider minimum approach distance guidelines should be based on the separation distance necessary to allow animals to undertake normal activity, rather than on the distance people can approach wildlife before the animals flee. (c) 2005 Elsevier Ltd. All rights reserved.</t>
  </si>
  <si>
    <t>Univ Tasmania, Sch Geog &amp; Environm Studies, Hobart, Tas 7001, Australia; Australian Antarctic Div, Human Impacts Res Programme, Kingston, Tas 7050, Australia</t>
  </si>
  <si>
    <t>Holmes, N (corresponding author), Univ Tasmania, Sch Geog &amp; Environm Studies, Private Bag 78, Hobart, Tas 7001, Australia.</t>
  </si>
  <si>
    <t>ndholmes@utas.edu.au</t>
  </si>
  <si>
    <t>1873-2917</t>
  </si>
  <si>
    <t>10.1016/j.biocon.2005.06.009</t>
  </si>
  <si>
    <t>Green Published, Green Accepted</t>
  </si>
  <si>
    <t>WOS:000232993900005</t>
  </si>
  <si>
    <t>Ashford, JR; Jones, CM; Hofmann, E; Everson, I; Moreno, C; Duhamel, G; Williams, R</t>
  </si>
  <si>
    <t>Can otolith elemental signatures record the capture site of Patagonian toothfish (Dissostichus eleginoides), a fully marine fish in the Southern Ocean?</t>
  </si>
  <si>
    <t>CANADIAN JOURNAL OF FISHERIES AND AQUATIC SCIENCES</t>
  </si>
  <si>
    <t>ANTARCTIC CIRCUMPOLAR CURRENT; WATER COLUMN; STOCK IDENTIFICATION; POPULATION-STRUCTURE; EXPORT PRODUCTION; WEDDELL SEA; STRONTIUM; ATLANTIC; PACIFIC; BARIUM</t>
  </si>
  <si>
    <t>Otolith chemistry has been successfully used to reconstruct the environmental history experienced by estuarine-dependent teleost fish, including movement between estuaries and coastal areas. However, application has been more limited in species exposed exclusively to oceanic waters, where gradients in physical and chemical properties are less extreme. To test whether otolith elemental signatures record spatial information in an oceanic species, we sampled otoliths from Patagonian toothfish (Dissostichus eleginoides) and used an inductively coupled plasma mass spectrometer (ICP-MS) coupled to a laser ablation system to target the outer otolith edges corresponding to the period immediately before capture. Using multivariate analysis of variance and multivariate discriminant analysis, we found that edge signatures discriminated toothfish by geographic region with near complete success: only 5% of fish caught off South America and in the Antarctic were misclassified to sampling areas in the other region. Moreover, edge signatures showed strong differences between sampling areas within each region: fish captured off South America classified to sampling areas therein with 79%-84% success, and Antarctic fish classified to sampling areas therein with 50%-67% success. These results compare favourably with rates of classification for estuarine-dependent fish, demonstrating that otolith elemental signatures can discriminate the geographic provenance of oceanic and estuarine-dependent fish.</t>
  </si>
  <si>
    <t>Old Dominion Univ, Ctr Quantitat Fisheries Ecol, Norfolk, VA 23529 USA; Old Dominion Univ, Ctr Coastal Phys Oceanog, Norfolk, VA 23529 USA; Anglia Polytech Univ, Sch Appl Sci, Environm Sci Res Ctr, Cambridge, England; Univ Austral Chile, Inst Ecol Evolucion, Valdivia, Chile; Museum Natl Hist Nat, F-75231 Paris, France; Antarctic Div, Kingston, Tas 7050, Australia</t>
  </si>
  <si>
    <t>Old Dominion University; Old Dominion University; Anglia Ruskin University; Universidad Austral de Chile; Museum National d'Histoire Naturelle (MNHN); Australian Antarctic Division</t>
  </si>
  <si>
    <t>Ashford, JR (corresponding author), Old Dominion Univ, Ctr Quantitat Fisheries Ecol, Norfolk, VA 23529 USA.</t>
  </si>
  <si>
    <t>jashford@odu.edu</t>
  </si>
  <si>
    <t>NATL RESEARCH COUNCIL CANADA</t>
  </si>
  <si>
    <t>OTTAWA</t>
  </si>
  <si>
    <t>RESEARCH JOURNALS, MONTREAL RD, OTTAWA, ONTARIO K1A 0R6, CANADA</t>
  </si>
  <si>
    <t>0706-652X</t>
  </si>
  <si>
    <t>CAN J FISH AQUAT SCI</t>
  </si>
  <si>
    <t>Can. J. Fish. Aquat. Sci.</t>
  </si>
  <si>
    <t>10.1139/F05-191</t>
  </si>
  <si>
    <t>Fisheries; Marine &amp; Freshwater Biology</t>
  </si>
  <si>
    <t>991FZ</t>
  </si>
  <si>
    <t>WOS:000233799100016</t>
  </si>
  <si>
    <t>Lang, SLC; Iverson, SJ; Bowen, WD</t>
  </si>
  <si>
    <t>Individual variation in milk composition over lactation in harbour seals (Phoca vitulina) and the potential consequences of intermittent attendance</t>
  </si>
  <si>
    <t>CANADIAN JOURNAL OF ZOOLOGY-REVUE CANADIENNE DE ZOOLOGIE</t>
  </si>
  <si>
    <t>ANTARCTIC FUR SEALS; ARCTOCEPHALUS-GAZELLA; MAMMARY INVOLUTION; AMSTERDAM ISLAND; BREEDING-SEASON; DIVING BEHAVIOR; MATERNAL-CARE; DIVE BEHAVIOR; ELEPHANT SEAL; HOODED SEAL</t>
  </si>
  <si>
    <t>We studied milk composition over the course of lactation in 21 harbour seal (Phoca vitulina L., 1758) females on Sable Island, Nova Scotia. Milk fat content increased significantly from 40.8% +/- 1.01% at parturition to 50.2% +/- 1.39% at day 7 and then remained relatively constant throughout the remainder of lactation. Changes in dry matter mirrored changes in fat content. Protein content averaged about 9% over mid to late lactation. There was considerable between-individual variation in the composition of milk and how it changed over lactation, particularly in milk fat content (CV 9.1%-11.4%). In three females that were separated from their pups for 4-6 days, milk fat content declined by 20%-23% and milk protein content increased by 6%-11%. These changes in milk composition indicate that changes in mammary gland function occur rapidly following the onset of milk stasis in harbour seals. The rapid response of the mammary glands to separation suggests that, in direct contrast to the glands of otariids, the glands of harbour seals rely on regular evacuation to maintain normal function. These results suggest that there may be a significant physiological constraint on the duration that harbour seal females, and presumably other phocid seals, can forage without negatively affecting energy transfer to their pups.</t>
  </si>
  <si>
    <t>Dalhousie Univ, Dept Biol, Halifax, NS B3H 4J1, Canada; Fisheries &amp; Oceans Canada, Bedford Inst Oceanog, Dartmouth, NS B2Y 4A2, Canada</t>
  </si>
  <si>
    <t>Dalhousie University; Bedford Institute of Oceanography; Fisheries &amp; Oceans Canada</t>
  </si>
  <si>
    <t>Lang, SLC (corresponding author), Dalhousie Univ, Dept Biol, Halifax, NS B3H 4J1, Canada.</t>
  </si>
  <si>
    <t>shelley.lang@dal.ca</t>
  </si>
  <si>
    <t>Bowen, William/AAE-7204-2022; Bowen, William D/D-2758-2012</t>
  </si>
  <si>
    <t>Bowen, William/0000-0001-8334-5677; Iverson, Sara/0000-0003-2842-4094</t>
  </si>
  <si>
    <t>CANADIAN SCIENCE PUBLISHING, NRC RESEARCH PRESS</t>
  </si>
  <si>
    <t>1200 MONTREAL ROAD, BUILDING M-55, OTTAWA, ON K1A 0R6, CANADA</t>
  </si>
  <si>
    <t>0008-4301</t>
  </si>
  <si>
    <t>CAN J ZOOL</t>
  </si>
  <si>
    <t>Can. J. Zool.-Rev. Can. Zool.</t>
  </si>
  <si>
    <t>10.1139/Z05-149</t>
  </si>
  <si>
    <t>000PH</t>
  </si>
  <si>
    <t>WOS:000234473800002</t>
  </si>
  <si>
    <t>Northcott, KA; Snape, I; Scales, PJ; Stevens, GW</t>
  </si>
  <si>
    <t>Dewatering behaviour of water treatment sludges associated with contaminated site remediation in Antarctica</t>
  </si>
  <si>
    <t>CHEMICAL ENGINEERING SCIENCE</t>
  </si>
  <si>
    <t>water treatment; cold regions; sludge dewatering; compressional; rheology</t>
  </si>
  <si>
    <t>FLOCCULATED SUSPENSIONS; FILTRATION; PARAMETERS; DESIGN</t>
  </si>
  <si>
    <t>Sludge reduction and dewatering is an important aspect of water and waste water treatment. This is especially true in the case of Australia's Antarctic contaminated site remediation program, where the reduction in volume of wastes to be returned to Australia can lead to significant transport and handling cost savings. The dewatering characterisation of water treatment sludges from an Antarctic contaminated site was conducted using a theory of suspension dewatering developed by Buscall, Landman and White. This theory uses fundamental material properties of compressibility and permeability to determine the diffusivity of a suspension. Diffusivity is a useful property that can be used to directly compare the dewaterability of various sludges. In this investigation, several water treatment sludges were collected and characterised in the field to determine the impact of temperature and additives on compressibility, permeability and diffusivity. The Antarctic sludges were found to be less compressible and less permeable than materials such as mineral suspensions and alum water treatment sludges. Compressibility was found to decrease with the addition of powdered coagulation aids such as bentonite and chitosan. (c) 2005 Elsevier Ltd. All rights reserved.</t>
  </si>
  <si>
    <t>Univ Melbourne, Dept Chem &amp; Biomol Engn, Particulate Fluids Proc Ctr, Melbourne, Vic 3010, Australia; Australian Antarctic Div, Human Impacts Res, Kingston, Tas 7050, Australia</t>
  </si>
  <si>
    <t>Univ Melbourne, Dept Chem &amp; Biomol Engn, Particulate Fluids Proc Ctr, Melbourne, Vic 3010, Australia.</t>
  </si>
  <si>
    <t>Scales, Peter j/I-8103-2013</t>
  </si>
  <si>
    <t>Scales, Peter j/0000-0002-8033-3686; Stevens, Geoffrey/0000-0002-5788-4682</t>
  </si>
  <si>
    <t>0009-2509</t>
  </si>
  <si>
    <t>1873-4405</t>
  </si>
  <si>
    <t>CHEM ENG SCI</t>
  </si>
  <si>
    <t>Chem. Eng. Sci.</t>
  </si>
  <si>
    <t>10.1016/j.ces.2005.05.049</t>
  </si>
  <si>
    <t>Engineering, Chemical</t>
  </si>
  <si>
    <t>972MS</t>
  </si>
  <si>
    <t>WOS:000232458500003</t>
  </si>
  <si>
    <t>Snape, I; Harvey, PMA; Ferguson, SH; Rayner, JL; Revill, AT</t>
  </si>
  <si>
    <t>Investigation of evaporation and biodegradation of fuel spills in Antarctica - I. A chemical approach using GC-FID</t>
  </si>
  <si>
    <t>CHEMOSPHERE</t>
  </si>
  <si>
    <t>fingerprinting; petroleum hydrocarbons; SAB; raoult's law; antoine's equation; Pseudomonas spp.</t>
  </si>
  <si>
    <t>CRUDE-OIL; MICROBIAL-DEGRADATION; PETROLEUM; BIOREMEDIATION; HYDROCARBONS; MINERALIZATION; IDENTIFICATION; COLD; FATE; SOIL</t>
  </si>
  <si>
    <t>Little effort has been devoted to differentiating between hydrocarbon losses through evaporation and biodegradation in treatability studies of fuel-contaminated Antarctic soils. When natural attenuation is being considered as a treatment option, it is important to be able to identify the mechanism of hydrocarbon loss and demonstrate that rates of degradation are sufficient to prevent off-site migration. Similarly, where complex thermally enhanced bioremediation schemes involve nutrient addition, water management, air stripping and active heating, it is important to appreciate the relative roles of these mechanisms for cost minimisation. Following the loss of hydrocarbons by documenting changes in total petroleum hydrocarbons offers little insight into the relative contribution of evaporation and biodegradation. We present a methodology here that allows identification and quantification of evaporative losses of diesel range organics at a range of temperatures using successively less volatile compounds as fractionation markers. We also present data that supports the general utility of so-called biodegradation indices for tracking biodegradation progress. We are also able to show that at 4 degrees C indigenous Antarctic soil bacteria degrade Special Antarctic Blend fuel components in the following order: naphthalene and methyl-napthalenes, light n-alkanes, then progressively heavier n-alkanes; whereas isoprenoids and the unresolved complex mixture are relatively recalcitrant. (c) 2005 Elsevier Ltd. All rights reserved.</t>
  </si>
  <si>
    <t>Australian Antarctic Div, Kingston, Tas 7050, Australia; CSIRO Marine Res, Hobart, Tas 7000, Australia</t>
  </si>
  <si>
    <t>Australian Antarctic Division; Commonwealth Scientific &amp; Industrial Research Organisation (CSIRO)</t>
  </si>
  <si>
    <t>Australian Antarctic Div, Channel Highway, Kingston, Tas 7050, Australia.</t>
  </si>
  <si>
    <t>ian.snape@aad.gov.au</t>
  </si>
  <si>
    <t>Rayner, John L/F-7633-2013; Revill, Andrew/B-8733-2011</t>
  </si>
  <si>
    <t>Revill, Andrew/0000-0003-2486-5976</t>
  </si>
  <si>
    <t>0045-6535</t>
  </si>
  <si>
    <t>1879-1298</t>
  </si>
  <si>
    <t>Chemosphere</t>
  </si>
  <si>
    <t>10.1016/j.chemosphere.2005.04.108</t>
  </si>
  <si>
    <t>Environmental Sciences</t>
  </si>
  <si>
    <t>995CX</t>
  </si>
  <si>
    <t>WOS:000234078600012</t>
  </si>
  <si>
    <t>Köhler, P; Joos, F; Gerber, S; Knutti, R</t>
  </si>
  <si>
    <t>Simulated changes in vegetation distribution, land carbon storage, and atmospheric CO2 in response to a collapse of the North Atlantic thermohaline circulation</t>
  </si>
  <si>
    <t>CLIMATE DYNAMICS</t>
  </si>
  <si>
    <t>SCALE CLIMATE-CHANGE; TERRESTRIAL BIOSPHERE; SURFACE-TEMPERATURE; TAYLOR-DOME; ICE CORE; GREENLAND; OCEAN; MODEL; VARIABILITY; ECOSYSTEM</t>
  </si>
  <si>
    <t>It is investigated how abrupt changes in the North Atlantic (NA) thermohaline circulation (THC) affect the terrestrial carbon cycle. The Lund-Potsdam-Jena Dynamic Global Vegetation Model is forced with climate perturbations from glacial freshwater experiments with the ECBILT-CLIO ocean-atmosphere-sea ice model. A reorganisation of the marine carbon cycle is not addressed. Modelled NA THC collapses and recovers after about a millennium in response to prescribed freshwater forcing. The initial cooling of several Kelvin over Eurasia causes a reduction of extant boreal and temperate forests and a decrease in carbon storage in high northern latitudes, whereas improved growing conditions and slower soil decomposition rates lead to enhanced storage in mid-latitudes. The magnitude and evolution of global terrestrial carbon storage in response to abrupt THC changes depends sensitively on the initial climate conditions. These were varied using results from time slice simulations with the Hadley Centre model HadSM3 for different periods over the past 21 kyr. Changes in terrestrial storage vary between -67 and +50 PgC for the range of experiments with different initial conditions. Simulated peak-to-peak differences in atmospheric CO2 are 6 and 13 ppmv for glacial and late Holocene conditions. Simulated changes in delta C-13 are between 0.15 and 0.25 parts per thousand. These simulated carbon storage anomalies during a NA THC collapse depend on their magnitude on the CO2 fertilisation feedback mechanism. The CO2 changes simulated for glacial conditions are compatible with available evidence from marine studies and the ice core CO2 record. The latter shows multi-millennial CO2 variations of up to 20 ppmv broadly in parallel with the Antarctic warm events A1 to A4 in the South and cooling in the North.</t>
  </si>
  <si>
    <t>Alfred Wegener Inst Polar &amp; Marine Res, D-27515 Bremerhaven, Germany; Univ Bern, Inst Phys, CH-3012 Bern, Switzerland; Princeton Univ, Princeton, NJ 08542 USA; Natl Ctr Atmospher Res, Boulder, CO 80307 USA</t>
  </si>
  <si>
    <t>Helmholtz Association; Alfred Wegener Institute, Helmholtz Centre for Polar &amp; Marine Research; University of Bern; Princeton University; National Center Atmospheric Research (NCAR) - USA</t>
  </si>
  <si>
    <t>Alfred Wegener Inst Polar &amp; Marine Res, POB 120161, D-27515 Bremerhaven, Germany.</t>
  </si>
  <si>
    <t>Joos, Fortunat/B-4118-2018; Köhler, Peter/F-7293-2010; Knutti, Reto/B-8763-2008</t>
  </si>
  <si>
    <t>Joos, Fortunat/0000-0002-9483-6030; Köhler, Peter/0000-0003-0904-8484; Knutti, Reto/0000-0001-8303-6700</t>
  </si>
  <si>
    <t>0930-7575</t>
  </si>
  <si>
    <t>1432-0894</t>
  </si>
  <si>
    <t>CLIM DYNAM</t>
  </si>
  <si>
    <t>Clim. Dyn.</t>
  </si>
  <si>
    <t>7-8</t>
  </si>
  <si>
    <t>10.1007/s00382-005-0058-8</t>
  </si>
  <si>
    <t>983OA</t>
  </si>
  <si>
    <t>WOS:000233240800002</t>
  </si>
  <si>
    <t>Cash, BA; Schneider, EK; Bengtsson, L</t>
  </si>
  <si>
    <t>Origin of regional climate differences: role of boundary conditions and model formulation in two GCMs</t>
  </si>
  <si>
    <t>SEA-SURFACE TEMPERATURE; ANTARCTIC OSCILLATIONS; GREENHOUSE GASES; GLOBAL CLIMATE; SENSITIVITY; CIRCULATION; VARIABILITY; FEEDBACKS; OCEAN; CO2</t>
  </si>
  <si>
    <t>Model differences in projections of extratropical regional climate change due to increasing greenhouse gases are investigated using two atmospheric general circulation models (AGCMs): ECHAM4 (Max Planck Institute, version 4) and CCM3 (National Center for Atmospheric Research Community Climate Model version 3). Sea-surface temperature (SST) fields calculated from observations and coupled versions of the two models are used to force each AGCM in experiments based on time-slice methodology. Results from the forced AGCMs are then compared to coupled model results from the Coupled Model Intercomparison Project 2 (CMIP2) database. The time-slice methodology is verified by showing that the response of each model to doubled CO2 and SST forcing from the CMIP2 experiments is consistent with the results of the coupled GCMs. The differences in the responses of the models are attributed to (1) the different tropical SST warmings in the coupled simulations and (2) the different atmospheric model responses to the same tropical SST warmings. Both are found to have important contributions to differences in implied Northern Hemisphere (NH) winter extratropical regional 500 mb height and tropical precipitation climate changes. Forced teleconnection patterns from tropical SST differences are primarily responsible for sensitivity differences in the extratropical North Pacific, but have relatively little impact on the North Atlantic. There are also significant differences in the extratropical response of the models to the same tropical SST anomalies due to differences in numerical and physical parameterizations. Differences due to parameterizations dominate in the North Atlantic. Differences in the control climates of the two coupled models from the current climate, in particular for the coupled model containing CCM3, are also demonstrated to be important in leading to differences in extratropical regional sensitivity.</t>
  </si>
  <si>
    <t>George Mason Univ, Ctr Ocen Land Atmosphere Studies, Calverton, MD 20705 USA; Environm Syst Sci Ctr, Reading, Berks, England; Max Planck Inst Meteorol, Hamburg, Germany</t>
  </si>
  <si>
    <t>George Mason University; University of Reading; Max Planck Society</t>
  </si>
  <si>
    <t>Cash, BA (corresponding author), George Mason Univ, Ctr Ocen Land Atmosphere Studies, 4041 Power Mill Rd,Suite 302, Calverton, MD 20705 USA.</t>
  </si>
  <si>
    <t>bcash@cola.iges.org</t>
  </si>
  <si>
    <t>Cash, Benjamin/0000-0003-2295-3112</t>
  </si>
  <si>
    <t>10.1007/s00382-005-0069-5</t>
  </si>
  <si>
    <t>WOS:000233240800003</t>
  </si>
  <si>
    <t>Keller, K; Hall, M; Kim, SR; Bradford, DF; Oppenheimer, M</t>
  </si>
  <si>
    <t>Avoiding dangerous anthropogenic interference with the climate system</t>
  </si>
  <si>
    <t>CLIMATIC CHANGE</t>
  </si>
  <si>
    <t>ANTARCTIC ICE-SHEET; ECONOMICS; FUTURE; MODEL; UNCERTAINTY; COLLAPSE; IMPACTS; INERTIA</t>
  </si>
  <si>
    <t>The UN Framework Convention on Climate Change calls for the avoidance of dangerous anthropogenic interference with the climate system. Among the many plausible choices, dangerous interference with the climate system may be interpreted as anthropogenic radiative forcing causing distinct and widespread climate change impacts such as a widespread demise of coral reefs or a disintegration of the West Antarctic ice sheet. The geological record and numerical models suggest that limiting global warming below critical temperature thresholds significantly reduces the likelihood of these eventualities. Here we analyze economically optimal policies that may ensure this risk-reduction. Reducing the risk of a widespread coral reef demise implies drastic reductions in greenhouse gas emissions within decades. Virtually unchecked greenhouse gas emissions to date (combined with the inertia of the coupled natural and human systems) may have already committed future societies to a widespread demise of coral reefs. Policies to reduce the risk of a West Antarctic ice sheet disintegration allow for a smoother decarbonization of the economy within a century and may well increase consumption in the long run.</t>
  </si>
  <si>
    <t>Penn State Univ, Dept Geosci, University Pk, PA 16802 USA; Brookings Inst, Washington, DC 20036 USA; Princeton Univ, Woodrow Wilson Sch Publ &amp; Int Affairs, Princeton, NJ 08544 USA; Princeton Univ, Dept Econ, Princeton, NJ 08544 USA; NYU, Sch Law, New York, NY 10003 USA; Natl Bur Econ Res, Cambridge, MA 02138 USA; CESifo, Munich, Germany; Princeton Univ, Dept Geosci, Princeton, NJ 08544 USA</t>
  </si>
  <si>
    <t>Pennsylvania Commonwealth System of Higher Education (PCSHE); Pennsylvania State University; Pennsylvania State University - University Park; Brookings Institution; Princeton University; Princeton University; New York University; National Bureau of Economic Research; Ifo Institut; Princeton University</t>
  </si>
  <si>
    <t>Penn State Univ, Dept Geosci, University Pk, PA 16802 USA.</t>
  </si>
  <si>
    <t>kkeller@geosc.psu.edu</t>
  </si>
  <si>
    <t>Keller, Klaus/A-6742-2013</t>
  </si>
  <si>
    <t>Oppenheimer, Michael/0000-0002-9708-5914</t>
  </si>
  <si>
    <t>0165-0009</t>
  </si>
  <si>
    <t>1573-1480</t>
  </si>
  <si>
    <t>Clim. Change</t>
  </si>
  <si>
    <t>10.1007/s10584-005-0426-8</t>
  </si>
  <si>
    <t>Environmental Sciences; Meteorology &amp; Atmospheric Sciences</t>
  </si>
  <si>
    <t>Environmental Sciences &amp; Ecology; Meteorology &amp; Atmospheric Sciences</t>
  </si>
  <si>
    <t>000SF</t>
  </si>
  <si>
    <t>WOS:000234482000002</t>
  </si>
  <si>
    <t>Fernandes, L; Day, J; Lewis, A; Slegers, S; Kerrigan, B; Breen, D; Cameron, D; Jago, B; Hall, J; Lowe, D; Innes, J; Tanzer, J; Chadwick, V; Thompson, L; Gorman, K; Simmons, M; Barnett, B; Sampson, K; De'ath, G; Mapstone, B; Marsh, H; Possingham, HP; Ball, I; Ward, T; Dobbs, K; Aumend, J; Slater, D; Stapleton, K</t>
  </si>
  <si>
    <t>Establishing representative no-take areas in the Great Barrier Reef: Large-scale implementation of theory on marine protected areas</t>
  </si>
  <si>
    <t>CONSERVATION BIOLOGY</t>
  </si>
  <si>
    <t>biophysical operational principles; cultural operational principles; economic operational principles; reserve-design software; social operational principles</t>
  </si>
  <si>
    <t>SCIENCE</t>
  </si>
  <si>
    <t>The Great Barrier Reef Marine Park, an area almost the size , of Japan, has a new network of no-take areas that significantly improves the protection of biodiversity. The new marine park zoning implements, in a quantitative manner, many of the theoretical design principles discussed in the literature. For example, the new network of no-take areas has at least 20% protection per bioregion, minimum levels of protection for all known habitats and special or unique features, and minimum sizes for no-take areas of at least 10 or 20 kat across at the smallest diameter Overall, more than 33% of the Great Barrier Reef Marine Park is now in no-take areas (previously 4.5%). The steps taken leading to this outcome were to clarify to the interested public why the existing level of protection wets inadequate; detail the conservation objectives of establishing new no-take areas; work with relevant and independent experts to define, and contribute to, the best scientific process to deliver on the objectives; describe the biodiversity (e.g., map bioregions); define operational principles needed to achieve the objectives; invite community input on all of The above; gather and layer the data gathered in round-table discussions; report the degree of achievement of principles for various options of no-take areas; and determine how to address negative impacts. Some of the key success factors in this case have global relevance and include focusing initial communication on the problem to be addressed; applying the precautionary principle; using independent experts; facilitating input to decision making; conducting extensive and participatory consultation; having an existing marine park that encompassed much of the ecosystem; having legislative power under federal law; developing high-level support; ensuring agency Priority and ownership; and being able to address the issue of displaced fishers.</t>
  </si>
  <si>
    <t>Barrier Reef marine Pk Author, Townsville, Qld 4810, Australia; GeoSci Australia, Canberra, ACT 2601, Australia; Natl Land Survey Iceland, IS-300 Akranes, Iceland; Queensland Fisheries Serv, Brisbane, Qld 4000, Australia; New S Wales Fisheries, Port Stephens Res Ctr, Taylors Beach, NSW 2316, Australia; Queensland Environm Protect Agcy, Brisbane, Qld 4000, Australia; Natl Oceans Off, Hobart, Tas 7000, Australia; Great Barrier Reef World Heritage Area, Cooperat Res Ctr, Townsville, Qld 4810, Australia; Australian Inst Marine Sci, Townsville, Qld 4810, Australia; Antarctic Climate &amp; Ecosyst Cooperat Res Ctr, Sandy Bay, Tas 7005, Australia; James Cook Univ N Queensland, Townsville, Qld 4811, Australia; Univ Queensland, Sch Life Sci, St Lucia, Qld 4072, Australia; Univ Queensland, Dept Math, St Lucia, Qld 4072, Australia; Australian Antarctic Div, Kingston, Tas 7050, Australia; Univ Western Australia, Inst Reg Dev, Nedlands, WA 6907, Australia</t>
  </si>
  <si>
    <t>Geoscience Australia; Queensland Department of Agriculture &amp; Fisheries; NSW Department of Primary Industries; Australian Institute of Marine Science; Antarctic Climate &amp; Ecosystems Cooperative Research Centre (ACE CRC); James Cook University; University of Queensland; University of Queensland; Australian Antarctic Division; University of Western Australia</t>
  </si>
  <si>
    <t>Barrier Reef marine Pk Author, POB 1379, Townsville, Qld 4810, Australia.</t>
  </si>
  <si>
    <t>leannef@gbrmpa.gov.au</t>
  </si>
  <si>
    <t>Possingham, Hugh/B-1337-2008; POSSINGHAM, HUGH/R-8310-2019; Day, Jon C/H-3276-2016</t>
  </si>
  <si>
    <t>Possingham, Hugh/0000-0001-7755-996X; POSSINGHAM, HUGH/0000-0001-7755-996X; Day, Jon C/0000-0003-3906-0759; Marsh, Helene/0000-0003-3492-4992</t>
  </si>
  <si>
    <t>0888-8892</t>
  </si>
  <si>
    <t>1523-1739</t>
  </si>
  <si>
    <t>CONSERV BIOL</t>
  </si>
  <si>
    <t>Conserv. Biol.</t>
  </si>
  <si>
    <t>10.1111/j.1523-1739.2005.00302.x</t>
  </si>
  <si>
    <t>993ET</t>
  </si>
  <si>
    <t>WOS:000233938100013</t>
  </si>
  <si>
    <t>Yi, S; Batten, DJ; Lee, SJ</t>
  </si>
  <si>
    <t>Provenance of recycled palynomorph assemblages recovered from surficial glaciomarine sediments in Bransfield Strait, offshore Antarctic Peninsula</t>
  </si>
  <si>
    <t>CRETACEOUS RESEARCH</t>
  </si>
  <si>
    <t>palynofloras; recycling; Bransfield Strait; Antarctic Peninsula</t>
  </si>
  <si>
    <t>LATE CRETACEOUS STRATIGRAPHY; DINOFLAGELLATE CYSTS; EAST ANTARCTICA; SEYMOUR-ISLAND; ICE SHELF; BASIN; PALYNOLOGY; VEGETATION; EVOLUTION; HOLOCENE</t>
  </si>
  <si>
    <t>Glaciomarine surficial sediments in cores taken from Bransfield Strait, adjacent to the Antarctic Peninsula, have yielded abundant recycled and contemporaneous (Pleistocene-Holocene) palynomorphs. The former are derived principally from Late Cretaceous-Palaeogene sediments and provide information on glaciomarine depositional conditions and sediment source areas. The composition of the assemblages suggests that they reflect vegetation that was endemic to the Weddellian Biogeographic Province, which includes what is now Seymour Island, James Ross Island and other parts of the Antarctic Peninsula region. The sediments concerned are considered to have accumulated as a result of ice-rafting and discharge of subglacial meltwater. (c) 2005 Elsevier Ltd. All rights reserved.</t>
  </si>
  <si>
    <t>Korea Inst Geosci &amp; Mineral Resources, Quaternary Environm Res Grp, Geol &amp; Environm Hazards Div, Taejon 305350, South Korea; Univ Manchester, Sch Earth Atmospher &amp; Environm Sci, Manchester M13 9PL, Lancs, England; Univ Wales, Inst Geog &amp; Earth Sci, Aberystwyth SY23 3DB, Dyfed, Wales; Kyungpook Natl Univ, Dept Geol, Taegu 702701, South Korea</t>
  </si>
  <si>
    <t>Korea Institute of Geoscience &amp; Mineral Resources (KIGAM); University of Manchester; Aberystwyth University; Kyungpook National University</t>
  </si>
  <si>
    <t>Korea Inst Geosci &amp; Mineral Resources, Quaternary Environm Res Grp, Geol &amp; Environm Hazards Div, 30 Gajeong Dong, Taejon 305350, South Korea.</t>
  </si>
  <si>
    <t>shyi@kigam.re.kr; david.batten@manchester.ac.uk</t>
  </si>
  <si>
    <t>Yi, Sangheon/D-4780-2011; Yi, Sangheon/AAE-2086-2022</t>
  </si>
  <si>
    <t>Yi, Sangheon/0000-0002-2938-0380; Yi, Sangheon/0000-0002-2938-0380</t>
  </si>
  <si>
    <t>ACADEMIC PRESS LTD- ELSEVIER SCIENCE LTD</t>
  </si>
  <si>
    <t>24-28 OVAL RD, LONDON NW1 7DX, ENGLAND</t>
  </si>
  <si>
    <t>0195-6671</t>
  </si>
  <si>
    <t>1095-998X</t>
  </si>
  <si>
    <t>CRETACEOUS RES</t>
  </si>
  <si>
    <t>Cretac. Res.</t>
  </si>
  <si>
    <t>10.1016/j.cretres.2005.06.004</t>
  </si>
  <si>
    <t>996IX</t>
  </si>
  <si>
    <t>WOS:000234168700008</t>
  </si>
  <si>
    <t>Touratier, F; Goyet, C; Coatanoan, C; Andrié, C</t>
  </si>
  <si>
    <t>Assessments of anthropogenic CO2 distribution in the tropical Atlantic Ocean</t>
  </si>
  <si>
    <t>carbon cycle; water mass; Atlantic Ocean; tropical belt</t>
  </si>
  <si>
    <t>ANTARCTIC INTERMEDIATE WATER; GENERAL-CIRCULATION MODEL; DEEP EQUATORIAL ATLANTIC; WESTERN BOUNDARY CURRENT; SOUTH-ATLANTIC; NORTH-ATLANTIC; TRACER DISTRIBUTIONS; INDIAN-OCEAN; BOTTOM WATER; SEA</t>
  </si>
  <si>
    <t>With a limited number of properties (salinity, temperature, total dissolved inorganic carbon, total alkalinity, and oxygen) from a recent cruise in the tropical Atlantic Ocean, We use the simple and recent approach TrOCA (Tracer combining Oxygen, inorganic Carbon, and total Alkalinity) to estimate the distribution of anthropogenic CO(2) along three latitudinal sections. In order to assess the quality of the anthropogenic CO(2) distribution, results from the method are compared to the CFC-11 measurements. We discuss the large-scale distribution of the main water masses of the tropical Atlantic Ocean in the light of the anthropogenic CO(2) and the CFC-11 distributions. Keeping in mind that the anthropogenic CO(2) emission began similar to 60 years earlier than that of CFC-11, the former provides new insight on the local circulation and efficiency of the tropical waters to store the atmospheric carbon. (c) 2005 Elsevier Ltd. All rights reserved.</t>
  </si>
  <si>
    <t>Univ Perpignan, BDSI, F-66860 Perpignan, France; IFREMER, Ctr Brest, F-29280 Plouzane, France; Univ Paris 06, CNRS, IRD, LODYC, F-75252 Paris, France</t>
  </si>
  <si>
    <t>Universite Perpignan Via Domitia; Ifremer; Sorbonne Universite; Centre National de la Recherche Scientifique (CNRS); Institut de Recherche pour le Developpement (IRD)</t>
  </si>
  <si>
    <t>Touratier, F (corresponding author), Univ Perpignan, BDSI, Via Domita,51 Ave Paul Alduy, F-66860 Perpignan, France.</t>
  </si>
  <si>
    <t>touratie@univ-perp.fr</t>
  </si>
  <si>
    <t>Coatanoan, Christine C/A-4497-2010; Krom, Michael/I-5076-2012</t>
  </si>
  <si>
    <t>Krom, Michael/0000-0003-3386-9215; COATANOAN, Christine/0000-0001-9387-1793</t>
  </si>
  <si>
    <t>10.1016/j.dsr.2005.09.001</t>
  </si>
  <si>
    <t>994NM</t>
  </si>
  <si>
    <t>WOS:000234038500005</t>
  </si>
  <si>
    <t>Phleger, CF; Nelson, MM; Groce, AK; Cary, SC; Coyne, K; Gibson, JAE; Nichols, PD</t>
  </si>
  <si>
    <t>Lipid biomarkers of deep-sea hydrothermal vent polychaetes -: Alvinella pompejana, A-caudata, Paralvinella grasslei and Hesiolyra bergii</t>
  </si>
  <si>
    <t>Alvinella; fatty acid; hydrothermal vent; lipid; polychaete; sterol</t>
  </si>
  <si>
    <t>FATTY-ACID-COMPOSITION; RIMICARIS-EXOCULATA; LUMBRICUS-TERRESTRIS; ISOTOPE COMPOSITION; FOOD-WEB; TEMPERATURE; BACTERIA; WORMS; ADAPTATION; DIVERSITY</t>
  </si>
  <si>
    <t>The lipid composition was determined for 5 species of polychaete annelids collected by the Deep Submergence Vehicle ALVIN from high temperature chimneys at the 2500 in depth hydrothermal vent field of the East Pacific Rise. These are the first lipid biomarker analyses reported for these hydrothermal vent polychaetes. Lipid content was low in all samples (1.6-35.9 mg g(-1) wet mass) and was dominated by polar lipid (78-90% of total lipid) with 8-19% sterol (ST), and very low storage lipid (triacylglycerol and wax ester). Total polyunsaturated fatty acids (PUFA) were moderately high (22-31% of total fatty acids (FA)) with extremely low or no docosahexaenoic acid (DHA, 22:6(n-3)). Eicosapentaenoic acid (EPA, 20:5(n-3)) levels were 5-6% in Alvinella pompejana and A. caudata and 10.3-13.7% in an errantiate polychaete (likely Hesionidae) and Hesiolyra bergii. There were greater PUFA and a greater EPA/AA (AA is arachidonic acid, 20:4(n-6)) ratio in the anterior versus the posterior half of A. pompejana, which may correlate to the strong temperature gradient reported in its tube. Total nonmethylene interrupted diunsaturated fatty acids (NMID) were 4-9% of total FA for most polychaete species and included several 20:2 and 22:2 components. The principal monounsaturated fatty acids (MUFA) included 18:1 (n-7)c (14-19%), 16:1 (n-7)c (2.6-10%) and 20:1 (n-11)c (3-7% of total FA). These polychaete species may desaturate and elongate the bacterial-derived 18: 1 (n-7)c to obtain the essential FA EPA and AA. The major ST in the polychaetes is cholesterol (89-98% of total ST) with less cholesterol ill the gut contents of A. pompejana. Other ST included 24-ethylcholesterol (1.5-5% of total ST) with lesser amounts of 24-triethylenecholesterol, desmosterol, lathosterol, 24-methylcholesterol, 24-ethylcholesterol, and the stanols dehydrocholestanol and cholestanol. The high ST levels could play a role in thermal adaptation of membranes at the hydrothermal vent environment. Differences in the FA profiles separated the closely related species A. pompejana and A. caudata from Paralvinella grasslei, H. bergii, and the errantiate polychaete (likely Hesionidae). (c) 2005 Elsevier Ltd. All rights reserved.</t>
  </si>
  <si>
    <t>San Diego State Univ, Dept Biol, San Diego, CA 92182 USA; Univ Tasmania, Antarctic &amp; Climate Ecosyst CRC, Hobart, Tas 7001, Australia; Univ So Calif, Wrigley Inst Environm Studies, Los Angeles, CA 90089 USA; Univ So Calif, Dept Biol Sci, Los Angeles, CA 90089 USA; Metropolitan Wastewater Dept, Environm &amp; Tech Serv Div, San Diego, CA 92101 USA; Univ Delaware, Grad Coll Marine Studies, Ctr Marine Genom, Lewes, DE 19958 USA; CSIRO, Marine Res, Hobart, Tas 7001, Australia</t>
  </si>
  <si>
    <t>California State University System; San Diego State University; University of Tasmania; University of Southern California; University of Southern California; University of Delaware; Commonwealth Scientific &amp; Industrial Research Organisation (CSIRO)</t>
  </si>
  <si>
    <t>Phleger, CF (corresponding author), San Diego State Univ, Dept Biol, San Diego, CA 92182 USA.</t>
  </si>
  <si>
    <t>phleger@sunstroke.sdsu.edu</t>
  </si>
  <si>
    <t>Nichols, Peter D/C-5128-2011; Nelson, Matthew M/A-6811-2016</t>
  </si>
  <si>
    <t>Nelson, Matthew/0000-0003-4889-3752; Coyne, Kathryn/0000-0001-8846-531X; Cary, Stephen/0000-0002-2876-2387</t>
  </si>
  <si>
    <t>10.1016/j.dsr.2005.08.001</t>
  </si>
  <si>
    <t>WOS:000234038500009</t>
  </si>
  <si>
    <t>Katsanevakis, S</t>
  </si>
  <si>
    <t>Abundance and spatial distribution of the Mediterranean scallop, Pecten jacobaeus, in a marine lake</t>
  </si>
  <si>
    <t>FISHERIES RESEARCH</t>
  </si>
  <si>
    <t>Pecten jacobaeus; population ecology; Lake Vouliagmeni; distance sampling; spatial distribution; settlement</t>
  </si>
  <si>
    <t>PLACOPECTEN-MAGELLANICUS; ADAMUSSIUM-COLBECKI; ANTARCTIC SCALLOP; GIANT SCALLOP; MAXIMUS; VIDEO; SEA; RECRUITMENT; POPULATIONS; SETTLEMENT</t>
  </si>
  <si>
    <t>Pecten jacobaeus is an exploitable bivalve, whose populations have greatly declined in the main Mediterranean fisheries since the mid-1980s. A substantial population of the species was studied in the marine Lake Vouliagmeni (Korinthiakos Gulf, Greece). The population density and the spatial distribution of P. jacobaeus were estimated in the lake with line transect sampling by SCUBA diving, a method not previously used for scallop density estimations. Individuals of the first size class (small) were mainly restricted to shallow waters (4-8 m), while individuals of the second size class (large) were mainly restricted to deeper waters (&gt; 12 m). Possible reasons for this size-separation were: (1) the most appropriate settlement substrate for pediveligers was in shallow waters, (2) the strong summer thermocline in the lake may have induced the selection of the shallow and warm bottoms of the take as settlement areas, (3) intraspecific competition between adults and pediveligers, and (4) the high fishing mortality of large individuals in shallow waters. On the hypothesis that successful recruitment of R jacobaeus occurred mostly in the shallow areas of the lake, it was deduced that P. jacobaeus gradually migrated, as they grew, from the shallow settlement fields of the lake to the deeper areas. The density of large individuals was associated with depth and the degree of scatter (QD phi) of the granule size frequencies. Higher densities of large individuals were found deeper and in poorly sorted sediments (QD phi &gt; 1.0). The size of large individuals was positively correlated with depth. The size of P. jacobaeus population in Lake Vouliagmeni was estimated. (c) 2005 Elsevier B.V. All rights reserved.</t>
  </si>
  <si>
    <t>Univ Athens, Dept Zool Marine Biol, Sch Biol, Athens 15784, Greece</t>
  </si>
  <si>
    <t>National &amp; Kapodistrian University of Athens</t>
  </si>
  <si>
    <t>Univ Athens, Dept Zool Marine Biol, Sch Biol, Athens 15784, Greece.</t>
  </si>
  <si>
    <t>skatsan@biol.uoa.gr</t>
  </si>
  <si>
    <t>Katsanevakis, Stelios/AAD-8289-2020; Katsanevakis, Stelios/AGR-7012-2022</t>
  </si>
  <si>
    <t>Katsanevakis, Stelios/0000-0002-5137-7540</t>
  </si>
  <si>
    <t>0165-7836</t>
  </si>
  <si>
    <t>1872-6763</t>
  </si>
  <si>
    <t>FISH RES</t>
  </si>
  <si>
    <t>Fish Res.</t>
  </si>
  <si>
    <t>10.1016/j.fishres.2005.07.004</t>
  </si>
  <si>
    <t>980FY</t>
  </si>
  <si>
    <t>WOS:000233001000010</t>
  </si>
  <si>
    <t>Haase, KM; Stroncik, NA; Hékinian, R; Stoffers, P</t>
  </si>
  <si>
    <t>Nb-depleted andesites from the Pacific-Antarctic Rise as analogs for early continental crust</t>
  </si>
  <si>
    <t>geochemistry; silicic lavas; crust formation; mantle plume</t>
  </si>
  <si>
    <t>SPREADING CENTER; DIFFERENTIATION; RIDGE; RIFT; CRYSTALLIZATION; GEOCHEMISTRY; CONSTRAINTS; GENERATION; CHEMISTRY; MANTLE</t>
  </si>
  <si>
    <t>Sampling of the Pacific-Antarctic Rise close to the Foundation hotspot in the South Pacific reveals that silicic lavas erupt together with basalts on a 130-km-long part of this mid-oceanic ridge, representing the most extensive occurrence of andesites on the submarine spreading system. Most of these tholeiitic andesites and dacites have negative Nb and Ta anomalies, a signature that has so far been attributed only to subduction-related magmas and the continental crust. The silicic lavas formed by fractional crystallization from basalts and assimilation of melts from hydrothermally altered amphibolite in the oceanic crust. The presence of andesites with negative Nb and Ta anomalies on the Pacific-Antarctic Rise implies that such magmas are not restricted to subduction zones but can form at a plume-influenced mid-oceanic ridge. The andesites and dacites from the Pacific-Antarctic Rise may represent analogs to some Precambrian volcanic rocks and early continental crust.</t>
  </si>
  <si>
    <t>Univ Kiel, Inst Geowissensch, D-24098 Kiel, Germany</t>
  </si>
  <si>
    <t>University of Kiel</t>
  </si>
  <si>
    <t>Univ Kiel, Inst Geowissensch, Olshaussenstr 40, D-24098 Kiel, Germany.</t>
  </si>
  <si>
    <t>Stroncik, Nicole A/N-7108-2014</t>
  </si>
  <si>
    <t>Haase, Karsten/0000-0003-4768-5978; Stroncik, Nicole/0000-0003-4647-5928</t>
  </si>
  <si>
    <t>10.1130/G21899.1</t>
  </si>
  <si>
    <t>991XV</t>
  </si>
  <si>
    <t>WOS:000233849100001</t>
  </si>
  <si>
    <t>Khim, BK; Lee, YJ</t>
  </si>
  <si>
    <t>Abrupt increase of calcium carbonate contents in the Campbell Plateau (SW Pacific Ocean) during the deglaciation</t>
  </si>
  <si>
    <t>GEOSCIENCES JOURNAL</t>
  </si>
  <si>
    <t>stable isotopes; calcium carbonate; productivity; dissolution dilution; SW Pacific; ODP</t>
  </si>
  <si>
    <t>ANTARCTIC CIRCUMPOLAR CURRENT; SOUTHEASTERN NEW-ZEALAND; SOUTHWEST PACIFIC; DEEP-SEA; CHATHAM RISE; INTERGLACIAL CHANGES; SOUTHERN-OCEAN; SITE 594; CIRCULATION; SEDIMENT</t>
  </si>
  <si>
    <t>A core taken from a mudline of Hole 1120A (ODP Leg 181) located in the Campbell Plateau, Southwest Pacific Ocean documents the deglacial variation of calcium carbonate contents. Stable isotope profiles of planktonic and benthic foraminifera and a radiocarbon AMS dating (11,260 ka) constrain the age of deglaciation. Abrupt increase in the calcium carbonate contents during the deglaciation is a result of complex combination of dissolution, production, and dilution. Dissolution of bottom water plays insignificant role in Site 1120 due to the bathymetric high site above the present lysocline. The reduction in dilution of non-carbonate terrigenous particles is considered as a major reason to show the enhanced calcium carbonate contents during the Holocene. Such chalk-marl cycle of Atlantic-type carbonate variation can be observed in the Southwest Pacific Ocean.</t>
  </si>
  <si>
    <t>Pusan Natl Univ, Dept Marine Sci, Pusan 609735, South Korea; Korea Inst Geosci &amp; Marine Resources, Petr &amp; Marine Resources Div, Taejon 305350, South Korea</t>
  </si>
  <si>
    <t>Pusan National University; Korea Institute of Geoscience &amp; Mineral Resources (KIGAM)</t>
  </si>
  <si>
    <t>Khim, BK (corresponding author), Pusan Natl Univ, Dept Marine Sci, Pusan 609735, South Korea.</t>
  </si>
  <si>
    <t>bkkhim@pusan.ac.kr</t>
  </si>
  <si>
    <t>HANRIMWON PUBLISHING COMPANY</t>
  </si>
  <si>
    <t>SEOUL</t>
  </si>
  <si>
    <t>206-3 OHJANG-DONG, CHOONG-KU, SEOUL 100-310, SOUTH KOREA</t>
  </si>
  <si>
    <t>1226-4806</t>
  </si>
  <si>
    <t>GEOSCI J</t>
  </si>
  <si>
    <t>Geosci. J.</t>
  </si>
  <si>
    <t>10.1007/BF02910320</t>
  </si>
  <si>
    <t>999UG</t>
  </si>
  <si>
    <t>WOS:000234415400003</t>
  </si>
  <si>
    <t>Brentnall, SJ; Beerling, DJ; Osborne, CP; Harlandw, M; Francis, JE; Valdes, PJ; Wittig, VE</t>
  </si>
  <si>
    <t>Climatic and ecological determinants of leaf lifespan in polar forests of the high CO2 Cretaceous 'greenhouse' world</t>
  </si>
  <si>
    <t>GLOBAL CHANGE BIOLOGY</t>
  </si>
  <si>
    <t>biogeochemistry; disturbance; fossils; leaf lifespan; modelling; polar forests</t>
  </si>
  <si>
    <t>LATE ALBIAN CONIFERALES; ALEXANDER ISLAND; TREE GROWTH; PALEOBOTANICAL EVIDENCE; PHYSIOLOGICAL ECOLOGY; DECIDUOUS TREES; EARLY TERTIARY; TIME CLIMATE; BARE SOIL; ANTARCTICA</t>
  </si>
  <si>
    <t>Polar forests once extended across the high-latitude landmasses during ice-free 'greenhouse' intervals in Earth history. In the Cretaceous 'greenhouse' world, Arctic conifer forests were considered predominantly deciduous, while those on Antarctica contained a significantly greater proportion of evergreens. To investigate the causes of this distinctive biogeographical pattern, we developed a coupled model of conifer growth, soil biogeochemistry and forest dynamics. Our approach emphasized general relationships between leaf lifespan (LL) and function, and incorporated the feedback of LL on soil nutrient status. The model was forced with a mid-Cretaceous 'greenhouse' climate simulated by the Hadley Centre GCM. Simulated polar forests contained mixtures of dominant LLs, which reproduced observed biogeographical patterns of deciduous, mixed and evergreen biomes. It emerged that disturbance by fire was a critical factor. Frequent fires in simulated Arctic ecosystems promoted the dominance of trees with short LLs that were characterized by the rapid growth and colonization rates typical of today's boreal pioneer species. In Antarctica, however, infrequent fires allowed trees with longer LLs to dominate because they attained greater height, despite slower growth rates. A direct test of the approach was successfully achieved by comparing modelled LLs with quantitative estimates using Cretaceous fossil woods from Svalbard in the European Arctic and Alexander Island, Antarctica. Observations and the model both revealed mixed Arctic and evergreen Antarctic communities with peak dominance of trees with the same LLs. Our study represents a significant departure from the long-held belief that leaf habit was an adaptation to warm, dark winter climates, and highlights a previously unrecognized role for disturbance (in whatever guise) in polar forest ecology.</t>
  </si>
  <si>
    <t>Univ Sheffield, Dept Anim &amp; Plant Sci, Sheffield S10 2TN, S Yorkshire, England; Univ Leeds, Sch Earth &amp; Environm, Leeds LS2 9JT, W Yorkshire, England; Univ Bristol, Sch Geog Sci, Bristol BS8 1SS, Avon, England; Univ Illinois, Dept Plant Biol, Urbana, IL 61801 USA</t>
  </si>
  <si>
    <t>University of Sheffield; University of Leeds; University of Bristol; University of Illinois System; University of Illinois Urbana-Champaign</t>
  </si>
  <si>
    <t>Univ Sheffield, Dept Anim &amp; Plant Sci, Sheffield S10 2TN, S Yorkshire, England.</t>
  </si>
  <si>
    <t>d.j.beerling@sheffield.ac.uk</t>
  </si>
  <si>
    <t>Valdes, Paul J/C-4129-2013; Valdes, Paul/T-2004-2019; Beerling, David/C-2840-2009</t>
  </si>
  <si>
    <t>Valdes, Paul/0000-0002-1902-3283; Brentnall, Stuart/0009-0001-7855-7584; Beerling, David/0000-0003-1869-4314</t>
  </si>
  <si>
    <t>1354-1013</t>
  </si>
  <si>
    <t>1365-2486</t>
  </si>
  <si>
    <t>GLOBAL CHANGE BIOL</t>
  </si>
  <si>
    <t>Glob. Change Biol.</t>
  </si>
  <si>
    <t>10.1111/j.1365-2486.2005.001068.x</t>
  </si>
  <si>
    <t>995FX</t>
  </si>
  <si>
    <t>WOS:000234087300011</t>
  </si>
  <si>
    <t>Belcher, RL; Halanych, KM</t>
  </si>
  <si>
    <t>Phylogeography of ophiuroids from South American and Antarctic waters using MTDNA</t>
  </si>
  <si>
    <t>INTEGRATIVE AND COMPARATIVE BIOLOGY</t>
  </si>
  <si>
    <t>Annual Meeting of the Society-for-Integrative-and-Comparative-Biology</t>
  </si>
  <si>
    <t>JAN 04-08, 2006</t>
  </si>
  <si>
    <t>Auburn Univ, Auburn, AL 36849 USA</t>
  </si>
  <si>
    <t>Auburn University System; Auburn University</t>
  </si>
  <si>
    <t>halankm@smtpgate.duc.auburn.edu</t>
  </si>
  <si>
    <t>Halanych, Kenneth/A-9480-2009</t>
  </si>
  <si>
    <t>Halanych, Kenneth/0000-0002-8658-9674</t>
  </si>
  <si>
    <t>OXFORD UNIV PRESS INC</t>
  </si>
  <si>
    <t>CARY</t>
  </si>
  <si>
    <t>JOURNALS DEPT, 2001 EVANS RD, CARY, NC 27513 USA</t>
  </si>
  <si>
    <t>1540-7063</t>
  </si>
  <si>
    <t>1557-7023</t>
  </si>
  <si>
    <t>INTEGR COMP BIOL</t>
  </si>
  <si>
    <t>Integr. Comp. Biol.</t>
  </si>
  <si>
    <t>012KH</t>
  </si>
  <si>
    <t>WOS:000235337600038</t>
  </si>
  <si>
    <t>Huang, YM; McClintock, JB; Amsler, CD; Peters, KJ; Baker, BJ</t>
  </si>
  <si>
    <t>Feeding rates of common antarctic gammarid amphipods on ecologically important sympatric macroalgae</t>
  </si>
  <si>
    <t>Univ Alabama, Birmingham, AL USA; Univ S Florida, Tampa, FL USA</t>
  </si>
  <si>
    <t>University of Alabama System; University of Alabama Birmingham; State University System of Florida; University of South Florida</t>
  </si>
  <si>
    <t>yusheng@uab.edu</t>
  </si>
  <si>
    <t>Baker, Bill/N-4312-2019; Huang, Yusheng M/H-9407-2014</t>
  </si>
  <si>
    <t>WOS:000235337600245</t>
  </si>
  <si>
    <t>Peters, KJ; Amsler, CD; McClintock, JB; Baker, BJ</t>
  </si>
  <si>
    <t>Palatability and chemical defenses of Antarctic Peninsula sponges</t>
  </si>
  <si>
    <t>Univ Alabama, Birmingham, AL USA; Univ S Florida, Tampa, FL 33620 USA</t>
  </si>
  <si>
    <t>kpeters@uab.edu</t>
  </si>
  <si>
    <t>Baker, Bill/N-4312-2019</t>
  </si>
  <si>
    <t>WOS:000235337600406</t>
  </si>
  <si>
    <t>Sinclair, BJ; Klok, CJ; Terblanche, JS; Scott, MB; Chown, SL</t>
  </si>
  <si>
    <t>Physiological constraints on the small-scale distribution of three species of Antarctic Collembola</t>
  </si>
  <si>
    <t>Univ Nevada, Las Vegas, NV 89154 USA; Arizona State Univ, Tempe, AZ 85287 USA; Univ Stellenbosch, ZA-7600 Stellenbosch, South Africa; Univ Otago, Dunedin, New Zealand</t>
  </si>
  <si>
    <t>Nevada System of Higher Education (NSHE); University of Nevada Las Vegas; Arizona State University; Arizona State University-Tempe; Stellenbosch University; University of Otago</t>
  </si>
  <si>
    <t>Sinclair, Brent J/C-6133-2012; Chown, Steven/ABD-7646-2021; Terblanche, John/AAB-4457-2020; Chown, Steven L/H-3347-2011</t>
  </si>
  <si>
    <t>WOS:000235337600476</t>
  </si>
  <si>
    <t>Wilson, NG; Halanych, KM</t>
  </si>
  <si>
    <t>Underestimates of antarcticas biodiversity:: Phylogeography of the Antarctic crinoid Promacocrinus kerguelensis</t>
  </si>
  <si>
    <t>Wilsong@auburn.edu</t>
  </si>
  <si>
    <t>WOS:000235337601054</t>
  </si>
  <si>
    <t>Cox, NL; Halanych, KM</t>
  </si>
  <si>
    <t>Phylogeography of Sterechinus neumayeri from South American and Antarctic waters using the 16S MTDNA marker</t>
  </si>
  <si>
    <t>coxlisa@auburn.edu</t>
  </si>
  <si>
    <t>WOS:000235337601146</t>
  </si>
  <si>
    <t>Kendall, LR; McMullin, E; Marsh, AG</t>
  </si>
  <si>
    <t>Genome methylation patterns during early development in the antarctic sea urchin, Sterechinus neumayeri</t>
  </si>
  <si>
    <t>Univ Delaware, Newark, DE 19716 USA</t>
  </si>
  <si>
    <t>Ikendall@udel.edu</t>
  </si>
  <si>
    <t>WOS:000235337601270</t>
  </si>
  <si>
    <t>Nicodemus, J; Silic, S; Zhu, T; Ghiliotti, L; Cheng, CH</t>
  </si>
  <si>
    <t>Evolutionary analyses of the antifreeze glycoprotein genomic locus in Antarctic notothenioid fish</t>
  </si>
  <si>
    <t>Univ Illinois, Urbana, IL 61801 USA; Univ Genoa, Genoa, Italy</t>
  </si>
  <si>
    <t>University of Illinois System; University of Illinois Urbana-Champaign; University of Genoa</t>
  </si>
  <si>
    <t>nicodemu@life.uiuc.edu</t>
  </si>
  <si>
    <t>WOS:000235337601346</t>
  </si>
  <si>
    <t>Staniforth, M</t>
  </si>
  <si>
    <t>Staniforth, Mark</t>
  </si>
  <si>
    <t>The Shore Whaling Stations at South Georgia: A Study in Antarctic Industrial Archaeology</t>
  </si>
  <si>
    <t>INTERNATIONAL JOURNAL OF MARITIME HISTORY</t>
  </si>
  <si>
    <t>[Staniforth, Mark] Flinders Univ S Australia, Adelaide, SA, Australia</t>
  </si>
  <si>
    <t>Flinders University South Australia</t>
  </si>
  <si>
    <t>Staniforth, M (corresponding author), Flinders Univ S Australia, Adelaide, SA, Australia.</t>
  </si>
  <si>
    <t>SAGE PUBLICATIONS LTD</t>
  </si>
  <si>
    <t>1 OLIVERS YARD, 55 CITY ROAD, LONDON EC1Y 1SP, ENGLAND</t>
  </si>
  <si>
    <t>0843-8714</t>
  </si>
  <si>
    <t>2052-7756</t>
  </si>
  <si>
    <t>INT J MARIT HIST</t>
  </si>
  <si>
    <t>Int. J. Marit. Hist.</t>
  </si>
  <si>
    <t>10.1177/084387140501700253</t>
  </si>
  <si>
    <t>V57BF</t>
  </si>
  <si>
    <t>WOS:000210602600060</t>
  </si>
  <si>
    <t>Dawson, RJ; Hall, JW; Bates, PD; Nicholls, RJ</t>
  </si>
  <si>
    <t>Quantified analysis of the probability of flooding in the Thames estuary under imaginable worst-case sea level rise scenarios</t>
  </si>
  <si>
    <t>INTERNATIONAL JOURNAL OF WATER RESOURCES DEVELOPMENT</t>
  </si>
  <si>
    <t>CLIMATE-CHANGE; IMPACTS; MODEL; CONSEQUENCES; CIRCULATION; INUNDATION</t>
  </si>
  <si>
    <t>Most studies of the impacts of sea level rise (SLR) have explored scenarios of &lt; 1 m during the 21st century, even though larger rises are possible. This paper takes a different approach and explores and quantifies the likely flood impacts in the Thames estuary for a number of plausible, but unlikely, SLR scenarios. The collapse of the Western Antarctic Ice Sheet (WAIS) could cause global mean sea level to rise by 5-6 m; here a time-scale for such an event of 100 years is assumed to create a worst-case scenario. Combined with the 1 in 1000 storm surge event, this would result in 1000 kW of land being frequently inundated. This area currently contains 1 million properties and their inundation would result in direct damage of at least 97.8 billion at 2003 prices. Smaller SLR scenarios, resulting from a partial collapse of the WAIS over 100 years, also have significant potential impacts, demonstrating the vulnerability of the Thames estuary to SLR. Construction of a new storm surge barrier in the outer Thames estuary is shown to provide greater resilience to unexpectedly high SLR because of the additional large flood storage capacity that the barrier would provide. This analysis has, for the first time, connected mechanisms of abrupt climate change and SLR with hydrodynamic modelling used to quantify impacts. In particular, it is recognized that future management strategies need to be adaptive and robust in order to manage the uncertainty associated with climate change.</t>
  </si>
  <si>
    <t>Newcastle Univ, Sch Civil Engn &amp; Geosci, Newcastle Upon Tyne NE1 7RU, Tyne &amp; Wear, England; Univ Bristol, Sch Geog Sci, Bristol, Avon, England; Univ Southampton, Sch Civil &amp; Environm Engn, Southampton SO9 5NH, Hants, England</t>
  </si>
  <si>
    <t>Newcastle University - UK; University of Bristol; University of Southampton</t>
  </si>
  <si>
    <t>richard.dawson@newcastle.ac.uk</t>
  </si>
  <si>
    <t>Nicholls, Robert James/ABD-1481-2020; Hall, Jim W/ABF-1407-2020; Nicholls, Robert James/G-3898-2010; Dawson, Richard/D-6933-2011; Bates, Paul/C-8026-2012</t>
  </si>
  <si>
    <t>Nicholls, Robert James/0000-0002-9715-1109; Hall, Jim W/0000-0002-2024-9191; Nicholls, Robert James/0000-0002-9715-1109; Dawson, Richard/0000-0003-3158-5868; Bates, Paul/0000-0001-9192-9963</t>
  </si>
  <si>
    <t>0790-0627</t>
  </si>
  <si>
    <t>1360-0648</t>
  </si>
  <si>
    <t>INT J WATER RESOUR D</t>
  </si>
  <si>
    <t>Int. J. Water Resour. Dev.</t>
  </si>
  <si>
    <t>10.1080/07900620500258380</t>
  </si>
  <si>
    <t>Water Resources</t>
  </si>
  <si>
    <t>989QF</t>
  </si>
  <si>
    <t>WOS:000233688100004</t>
  </si>
  <si>
    <t>Stepanova, M; Antonova, E; Troshichev, O</t>
  </si>
  <si>
    <t>Prediction of Dst variations from Polar Cap indices using time-delay neural network</t>
  </si>
  <si>
    <t>7th Latin-American Conference on Space Geophysics</t>
  </si>
  <si>
    <t>MAR 29-APR 02, 2004</t>
  </si>
  <si>
    <t>Atibaia, BRAZIL</t>
  </si>
  <si>
    <t>geomagnetic storm; D-st; variation; polar cap index; neural network</t>
  </si>
  <si>
    <t>MAGNETIC ACTIVITY; PC; STORMS; PROXY</t>
  </si>
  <si>
    <t>The hourly averaged Polar Cap (PC) index was used as the input parameter for the ring current index D-st variation forecasting. The PC index is known to describe well the principal features of the interplanetary magnetic field as well as the total energy input to the magnetosphere. This allowed us to design a neural network that was able to forecast the D-st variations 1 h ahead. 1995 PC and D-st data sets were used for training and testing and 1997 data sets were used for validation. From 15 moderate and strong geornagnetic storms observed during 1997, 10 were successfully forecasted. In 3 cases the observed minimum D-st value was less than the predicted value, and only in 3 cases the neural network was not able to reproduce the features of the geornagnetic storm. (c) 2005 Elsevier Ltd. All rights reserved.</t>
  </si>
  <si>
    <t>Univ Santiago Chile, Dept Fis, Santiago, Chile; Moscow MV Lomonosov State Univ, Skobeltsyn Inst Nucl Phys, Moscow 119992, Russia; Russian Acad Sci, Inst Space Res, Moscow 117810, Russia; Arctic &amp; Antarctic Res Inst, Dept Geophys, St Petersburg 199226, Russia</t>
  </si>
  <si>
    <t>Universidad de Santiago de Chile; Lomonosov Moscow State University; Russian Academy of Sciences; Space Research Institute of the Russian Academy of Sciences; Arctic &amp; Antarctic Research Institute</t>
  </si>
  <si>
    <t>Univ Santiago Chile, Dept Fis, Casilla 307,Correo 2, Santiago, Chile.</t>
  </si>
  <si>
    <t>mstepano@lauca.usach.cl</t>
  </si>
  <si>
    <t>Stepanova, Marina V/D-6329-2011; Antonova, Elizaveta E/A-2716-2012</t>
  </si>
  <si>
    <t>Stepanova, Marina V/0000-0002-1053-3375; Antonova, Elizaveta E/0000-0001-6980-3993</t>
  </si>
  <si>
    <t>17-18</t>
  </si>
  <si>
    <t>10.1016/j.jastp.2005.02.027</t>
  </si>
  <si>
    <t>000GM</t>
  </si>
  <si>
    <t>WOS:000234449000003</t>
  </si>
  <si>
    <t>North, AW</t>
  </si>
  <si>
    <t>Mackerel icefish size and age differences and long-term change at South Georgia and Shag Rocks</t>
  </si>
  <si>
    <t>JOURNAL OF FISH BIOLOGY</t>
  </si>
  <si>
    <t>age; Champsocephalus gunnari; growth; long-term change; Notothenioidei</t>
  </si>
  <si>
    <t>ANTARCTIC SEA-ICE; CHAMPSOCEPHALUS-GUNNARI; INTERANNUAL VARIABILITY; EUPHAUSIA-SUPERBA; MARINE ECOSYSTEM; WHALING RECORDS; LIFE-CYCLE; KRILL; TEMPERATURE; OCEAN</t>
  </si>
  <si>
    <t>This study analysed the total length (L-T)-frequency distribution of mackerel icefish Champsocephalus gunnari at South Georgia and Shag Rocks from nine bottom trawl surveys at South Georgia and eight at Shag Rocks between 1987 and 2002. The estimated mean L-T of age-classes 1+, 2+ 3+ and 4+ years during January were, respectively, 14.7, 23.5,29.8 and 35.1 cm at South Georgia. Age-classes 1+, 2+ and 3+ years were 18.3, 26.2 and 33.8 cm at Shag Rocks. The derived Bertalanffy growth parameters for South Georgia were: L-infinity = 51.7 cm, k = 0.27 and to = -0.26. The mean L-T of each age-class of C. gunnari at Shag Rocks was significantly larger than at South Georgia, equivalent to c. 5 months growth, although the annual growth in L-T was similar. This is further evidence that C. gunnari hatched earlier at Shag Rocks. At South Georgia, the mean L-T of age-classes 1+ and 3+ years were correlated, and significantly decreased between 1987 and 2002, and were smaller following warmer summers. This decrease in the size of C. gunnari may be the result of reduced food availability linked to climate warming. (c) 2005 The Fisheries Society of the British Isles.</t>
  </si>
  <si>
    <t>North, AW (corresponding author), British Antarctic Survey, NERC, High Cross, Cambridge CB3 0ET, England.</t>
  </si>
  <si>
    <t>a.north@bas.ac.uk</t>
  </si>
  <si>
    <t>0022-1112</t>
  </si>
  <si>
    <t>J FISH BIOL</t>
  </si>
  <si>
    <t>J. Fish Biol.</t>
  </si>
  <si>
    <t>10.1111/j.1095-8649.2005.00874.x</t>
  </si>
  <si>
    <t>030BZ</t>
  </si>
  <si>
    <t>WOS:000236609600013</t>
  </si>
  <si>
    <t>Frey, MM; Stewart, RW; McConnell, JR; Bales, RC</t>
  </si>
  <si>
    <t>Atmospheric hydroperoxides in West Antarctica: Links to stratospheric ozone and atmospheric oxidation capacity</t>
  </si>
  <si>
    <t>HYDROGEN-PEROXIDE H2O2; ARCTIC BOUNDARY-LAYER; SOUTH-POLE; ISCAT 2000; PHOTOCHEMICAL PRODUCTION; SURFACE SNOW; ICE CORES; GREENLAND; FORMALDEHYDE; CHEMISTRY</t>
  </si>
  <si>
    <t>The troposphere above the West Antarctic Ice Sheet (WAIS) was sampled for hydroperoxides at 21 locations during 2-month-long summer traverses from 2000 to 2002, as part of the U. S. International Trans-Antarctic Scientific Expedition (US ITASE). First-time quantitative measurements using a high-performance liquid chromatography method showed that methylhydroperoxide (MHP) is the only important organic hydroperoxide occurring in the Antarctic troposphere and that it is found at levels 10 times those previously predicted by photochemical models. During three field seasons, means and standard deviations for hydrogen peroxide (H2O2) were 321 +/- 158 pptv, 650 +/- 176 pptv, and 330 +/- 147 pptv. While MHP was detected but not quantified in December 2000, levels in summer 2001 and 2002 were 317 +/- 128 pptv and 304 +/- 172 pptv. Results from firm air experiments and diurnal variability of the two species showed that atmospheric H2O2 is significantly impacted by a physical snow pack source between 76 degrees and 90 degrees S, whereas MHP is not. We show strong evidence of a negative correlation between stratospheric ozone and H2O2 at the surface. Between 27 November and 12 December in 2001, when ozone column densities dropped below 220 Dobson units (DU) (means in 2000 and 2001 were 318 DU and 334 DU, respectively), H2O2 was 1.7 times that observed in the same period in 2000 and 2002, while MHP was only 80% of the levels encountered in 2002. Photochemical box model runs match MHP observations only when the production rate from CH3O2 + HO2 was increased to the upper limit of its estimated range of uncertainty. Model results suggest that NO and OH levels on WAIS are closer to coastal values, while Antarctic Plateau levels are higher, confirming that region to be a highly oxidizing environment. The modeled sensitivity of H2O2 and particularly MHP to NO offers the potential to use atmospheric hydroperoxides to constrain the NO background and thus estimate the past oxidation capacity of the remote atmosphere using ice cores.</t>
  </si>
  <si>
    <t>Univ Arizona, Dept Hydrol &amp; Water Resources, Tucson, AZ 85721 USA; Univ Calif Merced, Sch Engn, Atwater, CA 95301 USA; NASA, Goddard Space Flight Ctr, Atmospher Chem &amp; Dynam Branch, Greenbelt, MD 20771 USA; Desert Res Inst, Div Hydrol Sci, Reno, NV 89512 USA</t>
  </si>
  <si>
    <t>University of Arizona; University of California System; University of California Merced; National Aeronautics &amp; Space Administration (NASA); NASA Goddard Space Flight Center; Nevada System of Higher Education (NSHE); Desert Research Institute NSHE</t>
  </si>
  <si>
    <t>Frey, MM (corresponding author), Univ Arizona, Dept Hydrol &amp; Water Resources, Tucson, AZ 85721 USA.</t>
  </si>
  <si>
    <t>mfrey@ucmerced.edu</t>
  </si>
  <si>
    <t>Frey, Markus/G-1756-2012; IPO, PAGES/JXY-7546-2024</t>
  </si>
  <si>
    <t>Frey, Markus/0000-0003-0535-0416;</t>
  </si>
  <si>
    <t>DEC 1</t>
  </si>
  <si>
    <t>D23</t>
  </si>
  <si>
    <t>D23301</t>
  </si>
  <si>
    <t>10.1029/2005JD006110</t>
  </si>
  <si>
    <t>993EM</t>
  </si>
  <si>
    <t>WOS:000233936300004</t>
  </si>
  <si>
    <t>Shelly, K; Roberts, S; Heraud, P; Beardall, J</t>
  </si>
  <si>
    <t>Interactions between UV-B exposure and phosphorus nutrition. I. Effects on growth, phosphate uptake, and chlorophyll fluorescence</t>
  </si>
  <si>
    <t>JOURNAL OF PHYCOLOGY</t>
  </si>
  <si>
    <t>chlorophyll fluorescence; Dunaliella tertiolecta; fluorescence transients; growth; phosphate limitation; photosynthesis; UV radiation</t>
  </si>
  <si>
    <t>ULTRAVIOLET-RADIATION; ANTARCTIC PHYTOPLANKTON; DUNALIELLA-TERTIOLECTA; CONTINUOUS-CULTURE; QUANTUM YIELD; DAMAGE; LIMITATION; RESPONSES; STRESS; LIGHT</t>
  </si>
  <si>
    <t>The interactive effects of P starvation and exposure to UV radiation on growth rates, quantum efficiency of PSII electron transport, and P-uptake capacity of the chlorophyte microalga Dunaliella tertiolecta Butcher are presented. Ultraviolet radiation did not in itself cause marked changes in growth rate, though it did induce changes in the effective quantum yield of PSII. Depriving cells of phosphate resulted in significant changes in all parameters examined. The decline of growth rate and fluorescence parameters after P starvation was significantly faster in the presence of UV radiation. Ultraviolet radiation also stimulated the magnitude of the transient changes in chl fluorescence (nutrient-induced fluorescence transient) exhibited by P-starved cells after resupply of that nutrient.</t>
  </si>
  <si>
    <t>Monash Univ, Sch Biol Sci, Clayton, Vic 3800, Australia</t>
  </si>
  <si>
    <t>Monash University</t>
  </si>
  <si>
    <t>Monash Univ, Sch Biol Sci, Clayton, Vic 3800, Australia.</t>
  </si>
  <si>
    <t>John.Beardall@sci.monash.edu.au</t>
  </si>
  <si>
    <t>Beardall, John/L-5262-2019; Beardall, John/A-1250-2008</t>
  </si>
  <si>
    <t>Beardall, John/0000-0001-7684-446X; Beardall, John/0000-0001-7684-446X; Heraud, Philip/0000-0003-4377-9184</t>
  </si>
  <si>
    <t>0022-3646</t>
  </si>
  <si>
    <t>1529-8817</t>
  </si>
  <si>
    <t>J PHYCOL</t>
  </si>
  <si>
    <t>J. Phycol.</t>
  </si>
  <si>
    <t>10.1111/j.1529-8817.2005.00148.x</t>
  </si>
  <si>
    <t>Plant Sciences; Marine &amp; Freshwater Biology</t>
  </si>
  <si>
    <t>991QU</t>
  </si>
  <si>
    <t>WOS:000233829500016</t>
  </si>
  <si>
    <t>Heraud, P; Roberts, S; Shelly, K; Beardall, J</t>
  </si>
  <si>
    <t>Interactions between UV-B exposure and phosphorus nutrition. II. Effects on rates of damage and repair</t>
  </si>
  <si>
    <t>ATP; damage; Dunaliella tertiolecta; PAR; PSII electron transport; recovery; repair; UV radiation</t>
  </si>
  <si>
    <t>DUNALIELLA-TERTIOLECTA CHLOROPHYCEAE; ULTRAVIOLET-RADIATION; MARINE-PHYTOPLANKTON; ABSORBING COMPOUNDS; ANTARCTIC PHYTOPLANKTON; OZONE DEPLETION; SHORT-TERM; PHOTOSYNTHESIS; INHIBITION; DIATOM</t>
  </si>
  <si>
    <t>The interactive effects of P starvation and exposure to UV radiation (UVR) on rates of damage (k) and repair (r), modeled from exposure response curves (ERCs), in the chlorophyte microalga Dunaliella tertiolecta Butcher were investigated. When nutrient-replete cells were exposed to the UVR during growth, k and r both increased by approximately 62% and 100%, respectively. However, when cells were starved of phosphorus, k increased by a similar amount as observed in replete cells, but r decreased by about 70%, explaining the increased susceptibility of cells to UVR-induced inhibition of photosynthesis under P starvation. Although not specifically investigated in this study, it is argued that the decreased repair capacity under P starvation is due to a decline in nucleotides such as ATP and GTP, which are necessary for protein repair.</t>
  </si>
  <si>
    <t>Beardall, John/A-1250-2008; Beardall, John/L-5262-2019</t>
  </si>
  <si>
    <t>10.1111/j.1529-8817.2005.00149.x</t>
  </si>
  <si>
    <t>WOS:000233829500017</t>
  </si>
  <si>
    <t>Cui, Y; Turner, G; Roy, UN; Guo, M; Pan, Z; Morgan, S; Burger, A; Yeh, Y</t>
  </si>
  <si>
    <t>Raman spectroscopy shows antifreeze glycoproteins interact with highly oriented pyrolytic graphite</t>
  </si>
  <si>
    <t>JOURNAL OF RAMAN SPECTROSCOPY</t>
  </si>
  <si>
    <t>antifreeze glycoproteins; highly oriented pyrolytic graphite; adsorption</t>
  </si>
  <si>
    <t>ANTARCTIC FISHES; AMINO-ACIDS; SURFACE; SILVER; POLYPEPTIDE; PROTEINS; SPECTRA</t>
  </si>
  <si>
    <t>Raman spectra of a mixture of antifreeze glycoproteins (AFGP) 6, 7 and 8 adsorbed on a highly oriented pyrolytic graphite (HOPG) surface spanning the range of 50 to 4500 cm(-1) were measured. It was found that the Raman signature of AFGP had been significantly altered because of its interaction with the HOPG surface; when compared with the spectra of bulk AFGP compounds, at least three new peaks were observed around 860, 940 and 1000 cm(-1), and two other peaks that were not well resolved in the bulk spectra around 1050 and 1155 cm(-1) were enhanced and well discriminated. The peak positions depended on the facet of HOPG presented to the proteins, and their relative intensities depended on the concentration of AFGP used in the adsorption experiment. The results indicated the possibility of multiple binding sites of AFGP on HOPG surfaces. Copyright (c) 2005 John Wiley &amp; Sons, Ltd.</t>
  </si>
  <si>
    <t>Fisk Univ, Dept Phys, Nashville, TN 37208 USA; Univ Calif Davis, Dept Appl Sci, Davis, CA 95616 USA</t>
  </si>
  <si>
    <t>Fisk University; University of California System; University of California Davis</t>
  </si>
  <si>
    <t>Cui, Y (corresponding author), Fisk Univ, Dept Phys, Nashville, TN 37208 USA.</t>
  </si>
  <si>
    <t>ycui@fisk.edu</t>
  </si>
  <si>
    <t>Roy, Utpal/GOP-1757-2022</t>
  </si>
  <si>
    <t>Roy, Utpal/0000-0003-2500-078X</t>
  </si>
  <si>
    <t>0377-0486</t>
  </si>
  <si>
    <t>J RAMAN SPECTROSC</t>
  </si>
  <si>
    <t>J. Raman Spectrosc.</t>
  </si>
  <si>
    <t>10.1002/jrs.1415</t>
  </si>
  <si>
    <t>Spectroscopy</t>
  </si>
  <si>
    <t>996EX</t>
  </si>
  <si>
    <t>WOS:000234158300004</t>
  </si>
  <si>
    <t>Martínez-Pita, I; García, F; Pita, ML</t>
  </si>
  <si>
    <t>Fatty acid composition and utilization in developing eggs of some marine nudibranchs (Mollusca: Gastropoda: Opistobranchia) from southwest Spain</t>
  </si>
  <si>
    <t>JOURNAL OF SHELLFISH RESEARCH</t>
  </si>
  <si>
    <t>eggs; embryogenesis; fatty acids; gastropoda; nudibranchia; opistobranchia</t>
  </si>
  <si>
    <t>SCALLOP ARGOPECTEN-PURPURATUS; PECTEN-MAXIMUS L; TAPES-PHILIPPINARUM; LARVAL DEVELOPMENT; LIPID-COMPOSITION; CLIONE-LIMACINA; PATINOPECTEN-YESSOENSIS; BIOCHEMICAL-COMPOSITION; REPRODUCTIVE OUTPUT; ANTARCTIC PTEROPODS</t>
  </si>
  <si>
    <t>The fatty acid composition of whole egg masses was investigated in 4 marine nudibranchs collected from the southwest of Spain: Polycera aurantiomarginata, Polycera quadrilineata, Berghia columbina and Berghia verrucicontis. The four species are carnivorous. All nudibranchs were characterized by high levels of n-3 polyunsaturated fatty acids (n-3 PUFA), mainly eicosapentaenoic acid (20:5n-3), docosaperttaenoic acid (22:5n-3) and docosahexaenoic acid (22:6n-3). Other major fatty acids were the saturated palmitic (16:0) and stearic (18:0) acids, the monounsaturated oleic acid (18:1n-9) and the n-6 PUFA arachidonic (20:4n-6) and docosatetraenoic (22:4n-6) acids. Relative high percentages of the plasmalogen derivatives 16:0DMA and 18:0DMA were also detected. Univariate analysis showed that egg fatty acids from P. aurantiomarginata and P. quadrilineata significantly differed from those of B. columbina and B. verrucicornis. Higher levels of saturated fatty acids and 22:6n-3 and lower percentages of 18:0DMA, 22:4n-6 and 22:5n-3 were found in the spawns of both species of Polycera as compared with both of Berghia. Analysis of the bryozoon Bugula neritina and the sea anemone Sagartia troglodites, main preys of Polycera and Berghia respectively, showed that the differences observed in egg fatty acid composition were likely related to diet. Fatty acids of the fully developed embryos from P. aurantiomarginata and B. columbina, sampled immediately prior to hatching, were analyzed to investigate the dynamics of fatty acids during embryogenesis. The long chain PUFA 20:4n-6, 22:4n-6, 20:5n-3 and 22:5n-3 increased or remained stable during embryo-genesis in both species whereas palmitoleic acid (16:1n-7) in B. columbine and 16:0, 17:0, 18:0 and 18:1n-9 in P. aurantiomarginata decreased. The major n-3 PUFA, 22:6n-3, marked decreased in B. columbina but remained unchanged in P. aurantiomarginata. These data indicate that fatty acids play different roles during embryogenesis and that in both nudibranchs the embryo requirements are not the same.</t>
  </si>
  <si>
    <t>Univ Seville, Dept Bioquim Med &amp; Biol Mol, E-41009 Seville, Spain; Univ Seville, Dept Fisiol &amp; Zool, E-41012 Seville, Spain</t>
  </si>
  <si>
    <t>University of Sevilla; University of Sevilla</t>
  </si>
  <si>
    <t>Univ Seville, Dept Bioquim Med &amp; Biol Mol, Avda Sanchez Pizjuan 4, E-41009 Seville, Spain.</t>
  </si>
  <si>
    <t>mLpita@us.es</t>
  </si>
  <si>
    <t>García-Garcia, Francisco J/D-5516-2013; Martinez-Pita, Ines/AAX-5284-2021</t>
  </si>
  <si>
    <t>García-Garcia, Francisco J/0000-0002-6852-4498; Pita Calandre, Maria Luisa/0000-0003-4973-2387; Martinez, Ines/0000-0002-3989-7359</t>
  </si>
  <si>
    <t>NATL SHELLFISHERIES ASSOC</t>
  </si>
  <si>
    <t>GROTON</t>
  </si>
  <si>
    <t>C/O DR. SANDRA E. SHUMWAY, UNIV CONNECTICUT, 1080 SHENNECOSSETT RD, GROTON, CT 06340 USA</t>
  </si>
  <si>
    <t>0730-8000</t>
  </si>
  <si>
    <t>1943-6319</t>
  </si>
  <si>
    <t>J SHELLFISH RES</t>
  </si>
  <si>
    <t>J. Shellfish Res.</t>
  </si>
  <si>
    <t>039IM</t>
  </si>
  <si>
    <t>WOS:000237299200042</t>
  </si>
  <si>
    <t>Willan, RCR; Hunter, MA</t>
  </si>
  <si>
    <t>Basin evolution during the transition from continental rifting to subduction: Evidence from the lithofacies and modal petrology of the Jurassic Latady Group, Antarctic Peninsula</t>
  </si>
  <si>
    <t>JOURNAL OF SOUTH AMERICAN EARTH SCIENCES</t>
  </si>
  <si>
    <t>detrital modes; Ellsworth; Gondwana; lithofacies; sedimentary basin</t>
  </si>
  <si>
    <t>EASTERN PALMER LAND; WEDDELL SEA EMBAYMENT; SILICIC VOLCANISM; ELLSWORTH LAND; DETRITAL MODES; NEW-ZEALAND; SHEAR ZONE; BREAK-UP; GONDWANA; PROVENANCE</t>
  </si>
  <si>
    <t>The Jurassic Latady Basin (southern Antarctic Peninsula) developed in a broad rift zone associated with the early stages of Gondwana extension. Early Jurassic sedimentation (similar to 185 Ma) occurred in small, isolated terrestrial to lacustrine rift basins in the present-day northwest and west and became shallow marine by the early Middle Jurassic. Quantitative modal analysis reveals a high proportion of mature, quartzose sandstone derived from cratonic and quartzose recycled-orogen provenances, most likely in the direction of the Ellsworth-Whitmore Mountains in the Gondwana interior. Sandstones with a more volcanolithic provenance probably represent an influx of sands from a Permian volcanic source in West Antarctica. The Early Jurassic Latady sequence contains abundant volcanic quartz and rhyodacite grains, locally derived from the nearby ignimbrites of the rift-related Mount Poster Formation (similar to 185 Ma). Between the Middle and Late Jurassic (?160-150 Ma), there was a dramatic change throughout the Latady Basin to higher-energy conditions with marked lateral facies variations. Sandstones contain abundant fresh volcanic detritus and plot in the transitional arc field. Their source was a nearby, active continental margin arc, but there is no outcrop of arc material on the Antarctic Peninsula from this time. A possible source area is preserved on the Thurston Island block to the southwest. However, some fluvial systems still had access to areas of uplifted metamorphic/plutonic basement and quartzose, cratonic sources. Evidence of mixing of fluvial systems from different provenances and the lack of mixing of other fluvial systems suggest a complex topography of variably uplifted fault blocks with fluvial systems constrained in narrow valleys. The change from continental rift- to arc-related sources illustrates the shift from plume- (continental provenances) to continental margin arc-dominated tectonics. Thermal relaxation in the Late Jurassic led to the final phase of deposition in anoxic, deep-water conditions in a sediment-starved marine basin stretching from Ellsworth northward into southern South America. (c) 2005 Elsevier Ltd. All rights reserved.</t>
  </si>
  <si>
    <t>British Antarctic Survey, NERC, Geol Sci Div, Cambridge CB3 0ET, England; Univ Aberdeen, Dept Geol &amp; Petr Geol, Aberdeen AB24 3UE, Scotland</t>
  </si>
  <si>
    <t>UK Research &amp; Innovation (UKRI); Natural Environment Research Council (NERC); NERC British Antarctic Survey; University of Aberdeen</t>
  </si>
  <si>
    <t>Hunter, MA (corresponding author), British Antarctic Survey, NERC, Geol Sci Div, Madingley Rd, Cambridge CB3 0ET, England.</t>
  </si>
  <si>
    <t>r.willan@abdn.ac.uk; mahu@bas.ac.uk</t>
  </si>
  <si>
    <t>0895-9811</t>
  </si>
  <si>
    <t>J S AM EARTH SCI</t>
  </si>
  <si>
    <t>J. South Am. Earth Sci.</t>
  </si>
  <si>
    <t>10.1016/j.jsames.2005.05.008</t>
  </si>
  <si>
    <t>006QO</t>
  </si>
  <si>
    <t>WOS:000234912200002</t>
  </si>
  <si>
    <t>McDonald, MA; Hildebrand, JA; Wiggins, SM; Thiele, D; Glasgow, D; Moore, SE</t>
  </si>
  <si>
    <t>Sei whale sounds recorded in the Antarctic</t>
  </si>
  <si>
    <t>CHANNEL; NOISE</t>
  </si>
  <si>
    <t>Sei whales are the least well known acoustically of all the rorquals, with only two brief descriptions of their calls previously reported. Recordings of low-frequency tonal and frequency swept calls were made near a group Of four or five sei whales in waters west of the Antarctic Peninsula on 19 February 2003. These whales also produced broadband sounds which can be described as growls or whooshes. Many of the tonal and frequency swept calls (30 out of 68) consist of multiple parts with a frequency step between the two parts, this being the most unique characteristic of the calls, allowing them to be distinguished from the calls of other whale species. The average duration of the tonal calls is 0.45 +/- 0.3 s and the average frequency is 433 +/- 192 Hz. Using a calibrated seafloor recorder to determine the absolute calibration of a sonobuoy system, the maximum source level of the tonal calls was 156 +/- 3.6 dB re 1 mu Pa at 1 m. Each call had different character and there was no temporal pattern in the calling. (c) 2005 Acoustical Society of America.</t>
  </si>
  <si>
    <t>Whale Acoust, Bellvue, CO 80512 USA; Scripps Inst Oceanog, La Jolla, CA 92093 USA; Deakin Univ, Sch Ecol &amp; Environm, Warrnambool, Vic 3280, Australia; NOAA, Alaska Fisheries Sci Ctr, Seattle, WA 98115 USA</t>
  </si>
  <si>
    <t>University of California System; University of California San Diego; Scripps Institution of Oceanography; Deakin University; National Oceanic Atmospheric Admin (NOAA) - USA</t>
  </si>
  <si>
    <t>McDonald, MA (corresponding author), Whale Acoust, 11430 Rist Canyon Rd, Bellvue, CO 80512 USA.</t>
  </si>
  <si>
    <t>Hildebrand, John A/ABA-6213-2022; Moore, Sue E/M-2103-2018</t>
  </si>
  <si>
    <t>Hildebrand, John A/0000-0002-5418-9799;</t>
  </si>
  <si>
    <t>10.1121/1.2130944</t>
  </si>
  <si>
    <t>995LE</t>
  </si>
  <si>
    <t>WOS:000234101000055</t>
  </si>
  <si>
    <t>Simkanin, C; Power, A; Myers, A; McGrath, D; Southward, A; Mieszkowska, N; Leaper, R; O'Riordan, R</t>
  </si>
  <si>
    <t>Using historical data to detect temporal changes in the abundances of intertidal species on Irish shores</t>
  </si>
  <si>
    <t>JOURNAL OF THE MARINE BIOLOGICAL ASSOCIATION OF THE UNITED KINGDOM</t>
  </si>
  <si>
    <t>ELMINIUS-MODESTUS DARWIN; RECENT CLIMATE-CHANGE; ULTRAVIOLET-RADIATION; BIOLOGICAL INVASIONS; COVERING BEHAVIOR; MARINE ECOSYSTEMS; ENGLISH-CHANNEL; CONSEQUENCES; REPRODUCTION; COMMUNITY</t>
  </si>
  <si>
    <t>An historical data set, collected in 1958 by Southward and Crisp, was used as a baseline for detecting change in the abundances of species ill the rocky intertidal of Ireland. In 2003, the abundances of each of 27 species was assessed using the same methodologies (ACFOR [which stands for the categories: abundant, common, frequent, occasional and rare] abundances scales) at 63 shores examined in the historical study. Comparison of the ACFOR data. over a 45-year period, between the historical Survey and re-survey, showed statistically significant changes in the abundances of 12 of the 27 species examined. Two species (one classed as northern and one introduced) Increased significantly in abundance while ten species (five classed as northern, one classed as southern and Four broadly distributed) decreased in abundance. The possible reasons for the changes in species, abundances were assessed not only in the context of anthropogenic effects, such as climate change and commercial exploitation, but also of operator error. The error or differences recorded among operators (i.e. research scientists) when assessing species abundance using ACFOR categories was quantified oil four shores. Significant change detected ill three of the 12 species fell within the margin of operator error. This effect of operator may have also contributed to the results of no change in the other 15 species between the two census periods. It was not possible to determine the effect of operator oil Our results, Which Call Increase the occurrence of a false positive (Type 1) or of a false negative (Type 2) outcome.</t>
  </si>
  <si>
    <t>Mayo Inst Technol, Dept Life Sci, Galway, Ireland; Natl Univ Ireland Univ Coll Galway, Martin Ryan Inst, Galway, Ireland; Marine Biol Assoc UK, Plymouth PL1 2BP, Devon, England; Australian Antarctic Div, Kingston, Tas, Australia; Natl Univ Ireland Univ Coll Cork, Dept Zool Ecol &amp; Plant Sci, Cork, Ireland</t>
  </si>
  <si>
    <t>Atlantic Technological University (ATU); Ollscoil na Gaillimhe-University of Galway; Marine Biological Association United Kingdom; Australian Antarctic Division; University College Cork</t>
  </si>
  <si>
    <t>Simkanin, C (corresponding author), Portland State Univ, Portland, OR 97207 USA.</t>
  </si>
  <si>
    <t>simkanin@pdx.edu</t>
  </si>
  <si>
    <t>Mieszkowska, Nova/U-8479-2019</t>
  </si>
  <si>
    <t>Mieszkowska, Nova/0000-0002-9570-7759; Power, Anne Marie/0000-0001-7351-2451</t>
  </si>
  <si>
    <t>0025-3154</t>
  </si>
  <si>
    <t>J MAR BIOL ASSOC UK</t>
  </si>
  <si>
    <t>J. Mar. Biol. Assoc. U.K.</t>
  </si>
  <si>
    <t>10.1017/S0025315405012506</t>
  </si>
  <si>
    <t>994HF</t>
  </si>
  <si>
    <t>WOS:000234021100003</t>
  </si>
  <si>
    <t>Collins, MA</t>
  </si>
  <si>
    <t>Opisthoteuthis borealis:: a new species of cirrate octopod from Greenland waters</t>
  </si>
  <si>
    <t>CEPHALOPODA; MOLLUSCA; SYSTEMATICS; ATLANTIC; BIOLOGY</t>
  </si>
  <si>
    <t>A new species of cirrate octopod, Opisthoteuthis borealis sp. nov is described from specimens caught at depths of 957-1321 m off the coast of Greenland. Opisthoteuthis borealis sp. nov. is the most northerly of the Atlantic species of the genus and can be distinguished from the other species by the form of the digestive gland and the arrangement of enlarged suckers oil the arms of mature males.</t>
  </si>
  <si>
    <t>NERC, British Antarctic Survey, Cambridge CB3 0ET, England</t>
  </si>
  <si>
    <t>NERC, British Antarctic Survey, Madingley Rd, Cambridge CB3 0ET, England.</t>
  </si>
  <si>
    <t>macol@bas.ac.uk</t>
  </si>
  <si>
    <t>Collins, Martin A/J-8560-2017; , Martin/ABE-6728-2020</t>
  </si>
  <si>
    <t>, Martin/0000-0001-7132-8650</t>
  </si>
  <si>
    <t>1469-7769</t>
  </si>
  <si>
    <t>10.1017/S002531540501266X</t>
  </si>
  <si>
    <t>WOS:000234021100019</t>
  </si>
  <si>
    <t>Bissett, A; Gibson, JAE; Jarman, SN; Swadling, KM; Cromer, L</t>
  </si>
  <si>
    <t>Isolation, amplification, and identification of ancient copepod DNA from lake sediments</t>
  </si>
  <si>
    <t>LIMNOLOGY AND OCEANOGRAPHY-METHODS</t>
  </si>
  <si>
    <t>MOLECULAR-GENETIC ANALYSIS; EAST ANTARCTICA; LARSEMANN HILLS; HOLOCENE; DAPHNIA; HISTORY; POPULATIONS; CALIBRATION; STRATEGIES; INVASION</t>
  </si>
  <si>
    <t>Species identification of copepods in lake sediments is often difficult because their remains lack diagnostic features. It is therefore not easy to track changes in copepod biodiversity in lakes through time. We report a method for the isolation, amplification, and identification of copepod DNA from whole lake sediments formed in the early Holocene to the present. The method, which involves amplification of a short (similar to 300 base pair) DNA sequence that varies between copepod species, provides a new approach to the study of copepod paleobiodiversity. Successful amplification of copepod DNA was possible in samples as old as 9950 calibrated C-14 y BP. Attempts failed to recover DNA from a sediment sample ca 65,000 years old. In most cases the species identified in the sediments matched those of extant lake populations, but analysis of early-mid Holocene sediments from one lake revealed a species that is not present today. We were able to recover copepod DNA from core samples stored at -20 degrees C, at 4 degrees C, and preserved with polyethyleneglycol.</t>
  </si>
  <si>
    <t>Univ Tasmania, Sch Zool, Hobart, Tas, Australia; Univ Tasmania, Inst Antarctic &amp; So Ocean Studies, Hobart, Tas 7001, Australia; Australian Antarctic Div, Kingston, Tas, Australia; Tasmanian Aquaculture &amp; Fisheries Inst, Hobart, Tas, Australia</t>
  </si>
  <si>
    <t>University of Tasmania; University of Tasmania; Australian Antarctic Division; University of Tasmania</t>
  </si>
  <si>
    <t>Univ Tasmania, Sch Zool, Private Bag 5, Hobart, Tas, Australia.</t>
  </si>
  <si>
    <t>John.Gibson@utas.edu.au</t>
  </si>
  <si>
    <t>Newman, Louise/Q-8592-2019; Bissett, Andrew/AFR-3887-2022; Jarman, Simon/H-9265-2016</t>
  </si>
  <si>
    <t>Newman, Louise/0000-0001-9523-8713; Bissett, Andrew/0000-0001-7396-1484; Jarman, Simon/0000-0002-0792-9686; Swadling, Kerrie/0000-0002-7620-841X</t>
  </si>
  <si>
    <t>1541-5856</t>
  </si>
  <si>
    <t>LIMNOL OCEANOGR-METH</t>
  </si>
  <si>
    <t>Limnol. Oceanogr. Meth.</t>
  </si>
  <si>
    <t>10.4319/lom.2005.3.533</t>
  </si>
  <si>
    <t>Limnology; Oceanography</t>
  </si>
  <si>
    <t>022EK</t>
  </si>
  <si>
    <t>WOS:000236037400003</t>
  </si>
  <si>
    <t>Cunha, HA; da Silva, VMF; Lailson-Brito, J; Santos, MCO; Flores, PAC; Martin, AR; Azevedo, AF; Fragoso, ABL; Zanelatto, RC; Solé-Cava, AM</t>
  </si>
  <si>
    <t>Riverine and marine ecotypes of Sotalia dolphins are different species</t>
  </si>
  <si>
    <t>MARINE BIOLOGY</t>
  </si>
  <si>
    <t>MITOCHONDRIAL-DNA VARIATION; SYMPATRIC MORPHOTYPES; POPULATION-STRUCTURE; GENETIC DIVERSITY; HECTORS DOLPHIN; GENUS; EVOLUTION; TURSIOPS; CETACEA; HAPLOTYPES</t>
  </si>
  <si>
    <t>The current taxonomic status of Sotalia species is uncertain. The genus once comprised five species, but in the twentieth century they were grouped into two (riverine Sotalia fluviatilis and marine Sotalia guianensis) that later were further lumped into a single species (S. fluviatilis), with marine and riverine ecotypes. This uncertainty hampers the assessment of potential impacts on populations and the design of effective conservation measures. We used mitochondrial DNA control region and cytochrome b sequence data to investigate the specific status of S. fluviatilis ecotypes and their population structure along the Brazilian coast. Nested-clade (NCA), phylogenetic analyses and analysis of molecular variance of control region sequences showed that marine and riverine ecotypes form very divergent monophyletic groups (2.5% sequence divergence; 75% of total molecular variance found between them), which have been evolving independently since an old allopatric fragmentation event. This result is also corroborated by cytochrome b sequence data, for which marine and riverine specimens are fixed for haplotypes that differ by 28 (out of 1,140) nucleotides. According to various species definition methods, we conclude that marine and riverine Sotalia are different species. Based on priority criteria, we recommend the revalidation of Sotalia guianensis (Van Beneden 1864) for the marine animals, while riverine dolphins should retain the species name Sotalia fluviatilis (Gervais 1853), thus becoming the first exclusively riverine delphinid. The populations of S. guianensis show a strong subdivision (Phi(ST) = 0.628) along the Brazilian coast, with at least three evolutionarily significant units: north, northeastern and south/southeastern.</t>
  </si>
  <si>
    <t>Univ Fed Rio de Janeiro, Inst Biol, Dept Genet, Lab Biodivers Mol, BR-21941590 Rio De Janeiro, Brazil; Univ Estado Rio de Janeiro, Inst Geociencias, Dept Oceanog, MAQUA, Rio De Janeiro, Brazil; Inst Nacl de Pesquisas da Amazonia, Lab Mamiferos Aquat, Manaus, Amazonas, Brazil; Inst Biol Conservacao, Projeto Atlantis, Sao Paulo, Brazil; Int Wildlife Coalit, Florianopolis, SC, Brazil; British Antarctic Survey, Cambridge CB3 0ET, England; Univ Estado Rio de Janeiro, Dept Ecol, PPGB, IBRAG, Rio De Janeiro, Brazil; Univ Fed Rio de Janeiro, Museo Nacl, PPGZOO, Rio De Janeiro, Brazil; Univ Fed Parana, BR-80060000 Curitiba, Parana, Brazil</t>
  </si>
  <si>
    <t>Universidade Federal do Rio de Janeiro; Universidade do Estado do Rio de Janeiro; Institute Nacional de Pesquisas da Amazonia; UK Research &amp; Innovation (UKRI); Natural Environment Research Council (NERC); NERC British Antarctic Survey; Universidade do Estado do Rio de Janeiro; Universidade Federal do Rio de Janeiro; Universidade Federal do Parana</t>
  </si>
  <si>
    <t>Univ Fed Rio de Janeiro, Inst Biol, Dept Genet, Lab Biodivers Mol, BR-21941590 Rio De Janeiro, Brazil.</t>
  </si>
  <si>
    <t>sole@biologia.ufrj.br</t>
  </si>
  <si>
    <t>Santos, MCO/F-3588-2012; Cunha, Haydée/I-5443-2013; Azevedo, Alexandre/B-9660-2013; Santos, Marcos/AAE-6679-2019; AZEVEDO, ALEXANDRENDRE REIS DE/HII-5648-2022; Cunha, Haydee A/O-1940-2017; Brito, Jose Lailson/B-3572-2013; Sole-Cava, Antonio/G-4209-2011</t>
  </si>
  <si>
    <t>Santos, MCO/0000-0002-6642-2658; Azevedo, Alexandre/0000-0002-3754-9035; Cunha, Haydee A/0000-0002-8554-0238; Brito, Jose Lailson/0000-0001-8366-458X; Sole-Cava, Antonio/0000-0003-0363-5821</t>
  </si>
  <si>
    <t>SPRINGER HEIDELBERG</t>
  </si>
  <si>
    <t>HEIDELBERG</t>
  </si>
  <si>
    <t>TIERGARTENSTRASSE 17, D-69121 HEIDELBERG, GERMANY</t>
  </si>
  <si>
    <t>0025-3162</t>
  </si>
  <si>
    <t>1432-1793</t>
  </si>
  <si>
    <t>MAR BIOL</t>
  </si>
  <si>
    <t>Mar. Biol.</t>
  </si>
  <si>
    <t>10.1007/s00227-005-0078-2</t>
  </si>
  <si>
    <t>990DV</t>
  </si>
  <si>
    <t>WOS:000233724300022</t>
  </si>
  <si>
    <t>Kamikuri, SI; Nishi, H; Moore, TC; Nigrini, CA; Motoyama, I</t>
  </si>
  <si>
    <t>Radiolarian faunal turnover across the Oligocene/Miocene boundary in the equatorial Pacific Ocean</t>
  </si>
  <si>
    <t>radiolaria; faunal turnover; Oligocene/Miocene boundary; Antarctic glaciations</t>
  </si>
  <si>
    <t>EARLY MIOCENE; LATE EOCENE; DIATOM BIOSTRATIGRAPHY; SOUTHERN-OCEAN; NORTH-ATLANTIC; EVOLUTION; ORIGIN; OXYGEN</t>
  </si>
  <si>
    <t>The global warming trend of the latest Oligocene was interrupted by several cooling events associated with Antarctic glaciations. These cooling events affected surface water productivity and plankton assemblages. Well-preserved radiolarians were obtained from upper Oligocene to lower Miocene sediments at Ocean Drilling Program (ODP) Leg 199 Sites 1218 and 1219 in the equatorial Pacific, and 110 radiolarian species were identified. Four episodes of significant radiolarian faunal changes were identified: middle late Oligocene (27.5 to 27.3 Ma), latest Oligocene (24.4 Ma), earliest Miocene (23.3 Ma), and middle early Miocene (21.6 Ma). These four episodes approximately coincide with increases and decreases of biogenic silica accumulation rates and increases in 6180 values coded as Oi and Mi events. These data indicate that Antarctic glaciations were associated with change of siliceous sedimentation patterns and faunal changes in the equatorial Pacific. Radiolarian fauna was divided into three assemblages based on variations in radiolarian productivity, species richness and the composition of dominant species: a late Oligocene assemblage (27.6 to 24.4 Ma), a transitional assemblage (24.4 to 23.3 Ma) and an early Miocene assemblage (23.3 to 21.2 Ma). The late Oligocene assemblage is characterized by relatively high productivity, low species richness and four dominant species of Tholospyris anthophora, Stichocorys subligata, Lophocyrtis nomas and Lithelius spp. The transitional assemblage represents relatively low values of productivity and species richness, and consists of three dominant species of T anthophora, S. subligata and L. nomas. The characteristics of the early Miocene assemblage are relatively low productivity, but high species richness. The two dominant species present in this assemblage are T anthophora and Cyrtocapsella tetrapera. The most significant faunal turnover of radiolarians is marked at the boundary between the transitional/early Miocene assemblages. We also reviewed changes in other microfossil assemblages in the low latitudes during the late Oligocene through early Miocene. The microfossil assemblages of major groups show sequential changes near the Oligocene/Miocene (O/M) boundary (23.8 Ma). Many extinction events and some first occurences of calcareous nannofossils and many occurrences of radiolarians are found from about 24.8 to 23.3 Ma, and first occurrences of planktic foraminifers and diatoms followed from 23.2 through 22 Ma. Hence, the ON boundary is identified as a significant level for microfossil evolutions. (c) 2005 Elsevier B.V All rights reserved.</t>
  </si>
  <si>
    <t>Hokkaido Univ, Grad Sch Sci, Sapporo, Hokkaido 0600810, Japan; Kyushu Univ, Grad Sch Social &amp; Cultural Studies, Fukuoka 8108560, Japan; Univ Michigan, Dept Geol Sci, Ann Arbor, MI 48109 USA; Univ Tsukuba, Inst Geosci, Tsukuba, Ibaraki 3058572, Japan</t>
  </si>
  <si>
    <t>Hokkaido University; Kyushu University; University of Michigan System; University of Michigan; University of Tsukuba</t>
  </si>
  <si>
    <t>Hokkaido Univ, Grad Sch Sci, Sapporo, Hokkaido 0600810, Japan.</t>
  </si>
  <si>
    <t>kurigse@ep.sci.hokudai.ac.jp</t>
  </si>
  <si>
    <t>Moore, Theodore/N-8848-2014</t>
  </si>
  <si>
    <t>Moore, Theodore/0000-0003-4121-1325; Motoyama, Isao/0000-0002-6983-261X</t>
  </si>
  <si>
    <t>10.1016/j.marmicro.2005.07.004</t>
  </si>
  <si>
    <t>978ZN</t>
  </si>
  <si>
    <t>WOS:000232911900003</t>
  </si>
  <si>
    <t>Parnell, J; Lee, P; Osinski, GR; Cockell, CS</t>
  </si>
  <si>
    <t>Application of organic geochemistry to detect signatures of organic matter in the Haughton impact structure</t>
  </si>
  <si>
    <t>DEVON ISLAND; HYDROTHERMAL ACTIVITY; TARGET ROCKS; CANADA; SWEDEN; CRATER; FOSSILS; NORWAY; LIFE; OILS</t>
  </si>
  <si>
    <t>Organic geochemistry applied to samples of bedrock and surface sediment from the Haughton impact structure detects a range of signatures representing the impact event and the transfer of organic matter from the crater bedrock to its erosion products. The bedrock dolomite contains hydrocarbon-bearing fluid inclusions which were incorporated before the impact event. Comparison of biomarker data from the hydrocarbons in samples inside and Outside of the crater show the thermal signature of an impact. The occurrence of hydrocarbon inclusions in hydrothermal mineral samples shows that organic matter was mobilized and migrated in the immediate aftermath of the impact. The hydrocarbon signature was then transferred from bedrock to the crater-fill lacustrine deposits and present-day sediments in the crater, including wind-blown detritus in snow/ice. Separate signatures are detected from modern microbial life in crater rock and sediment samples. Signatures in Haughton crater samples are readily detectable because they include hydrocarbons generated by the burial of organic matter. This type of organic matter is not expected in crater samples oil other planets, but the Haughton data show that, using very high resolution detection of organic Compounds,. any signature of primitive life in the crater rocks Could be transferred to surface detritus and so extend the sampling medium.</t>
  </si>
  <si>
    <t>Univ Aberdeen, Dept Geol &amp; Petr Geol, Aberdeen AB24 3UE, Scotland; NASA, Ames Res Ctr, SETI Inst, Moffett Field, CA 94035 USA; Univ Arizona, Dept Planetary Sci, Lunar &amp; Planetary Lab, Tucson, AZ 85721 USA; British Antarctic Survey, Cambridge CB3 0ET, England</t>
  </si>
  <si>
    <t>University of Aberdeen; National Aeronautics &amp; Space Administration (NASA); NASA Ames Research Center; University of Arizona; UK Research &amp; Innovation (UKRI); Natural Environment Research Council (NERC); NERC British Antarctic Survey</t>
  </si>
  <si>
    <t>Parnell, J (corresponding author), Univ Aberdeen, Dept Geol &amp; Petr Geol, Aberdeen AB24 3UE, Scotland.</t>
  </si>
  <si>
    <t>j.parnell@abdn.ac.uk</t>
  </si>
  <si>
    <t>10.1111/j.1945-5100.2005.tb00151.x</t>
  </si>
  <si>
    <t>011MS</t>
  </si>
  <si>
    <t>WOS:000235273000008</t>
  </si>
  <si>
    <t>Bhadury, P; Austen, MC; Bilton, DT; Lambshead, PJD; Rogers, AD; Smerdon, GR</t>
  </si>
  <si>
    <t>Combined morphological and molecular analysis of individual nematodes through short-term preservation in formalin</t>
  </si>
  <si>
    <t>MOLECULAR ECOLOGY NOTES</t>
  </si>
  <si>
    <t>formalin; marine nematodes; polymerase chain reaction; Terschellingia longicaudata</t>
  </si>
  <si>
    <t>DNA; PCR</t>
  </si>
  <si>
    <t>Small metazoans such as marine nematodes are increasingly identified using both molecular and morphological techniques. Formalin is the preferred fixative for morphological analysis but specimens become unsuitable for molecular study due to formalin-induced modification of DNA. Nematodes fixed in ethanol work well for molecular studies but become unsuitable for taxonomy due to shrinkage. Here we show for the first time that formalin can be used as a short-term fixative (5 7 days) for marine nematodes, allowing both morphological and molecular work to be conducted on the same individual. No sequence ambiguities were detected in polymerase chain reaction (PCR) amplifications of 18S ribosomal DNA (rDNA) following short-term formalin preservation.</t>
  </si>
  <si>
    <t>Plymouth Marine Lab, Plymouth PL1 3DH, Devon, England; Univ Plymouth, Sch Biol Sci, Plymouth PL4 8AA, Devon, England; Nat Hist Museum, Dept Zool, Nematode Res Grp, London SW7 5BD, England; British Antarctic Survey, NERC, Cambridge CB3 0ET, England</t>
  </si>
  <si>
    <t>Plymouth Marine Laboratory; University of Plymouth; Natural History Museum London; UK Research &amp; Innovation (UKRI); Natural Environment Research Council (NERC); NERC British Antarctic Survey</t>
  </si>
  <si>
    <t>Plymouth Marine Lab, Prospect Pl, Plymouth PL1 3DH, Devon, England.</t>
  </si>
  <si>
    <t>pubh@pml.ac.uk</t>
  </si>
  <si>
    <t>Lambshead, PJD/AAC-6757-2021; Austen, Melanie C/GLU-1418-2022; Bhadury, Punyasloke/A-2355-2008; Smerdon, Gary/W-2035-2019</t>
  </si>
  <si>
    <t>Austen, Melanie C/0000-0001-8133-0498; Smerdon, Gary/0000-0003-1121-0778; Bilton, David/0000-0003-1136-0848; Rogers, Alex David/0000-0002-4864-2980; Bhadury, Punyasloke/0000-0001-8714-7475</t>
  </si>
  <si>
    <t>1471-8278</t>
  </si>
  <si>
    <t>MOL ECOL NOTES</t>
  </si>
  <si>
    <t>Mol. Ecol. Notes</t>
  </si>
  <si>
    <t>10.1111/j.1471-8286.2005.01095.x</t>
  </si>
  <si>
    <t>Biochemistry &amp; Molecular Biology; Ecology; Evolutionary Biology</t>
  </si>
  <si>
    <t>Biochemistry &amp; Molecular Biology; Environmental Sciences &amp; Ecology; Evolutionary Biology</t>
  </si>
  <si>
    <t>994SJ</t>
  </si>
  <si>
    <t>WOS:000234051200078</t>
  </si>
  <si>
    <t>Serreze, MC; Barrett, AP; Lo, F</t>
  </si>
  <si>
    <t>Northern high-latitude precipitation as depicted by atmospheric reanalyses and satellite retrievals</t>
  </si>
  <si>
    <t>MONTHLY WEATHER REVIEW</t>
  </si>
  <si>
    <t>Workshop on Short to Medium-Range Numerical Weather Prediction in the Arctic and Antarctic</t>
  </si>
  <si>
    <t>OCT, 2003</t>
  </si>
  <si>
    <t>Univ Alaska Fairbanks, Int Arct Res Ctr, Fairbanks, AK</t>
  </si>
  <si>
    <t>Univ Alaska Fairbanks, Int Arct Res Ctr</t>
  </si>
  <si>
    <t>GLOBAL PRECIPITATION; NCEP-NCAR; HYDROLOGIC-CYCLE; DRAINAGE SYSTEM; ARCTIC BASIN; CLIMATOLOGY; VARIABILITY; PROJECT</t>
  </si>
  <si>
    <t>Monthly precipitation based on forecasts from the new 40-yr ECMWF Re-Analysis (ERA-40) is evaluated for the north polar region (the region north of 45 degrees N), the terrestrial Arctic drainage, and its four major watersheds: the Ob, Yenisey, Lena, and Mackenzie basins, Corresponding evaluations are performed for precipitation from the NCEP-NCAR reanalysis, the earlier 15-yr ERA (ERA-15), and satellite-derived estimates from the Global Precipitation Climatology Project (GPCP). Evaluations rely on an improved gridded dataset of precipitation derived from monthly gauge data during the period 1979-93. The available number of gauges has declined since 1993, making it difficult to perform evaluations for later years. ERA-40 depicts monthly precipitation much better than NCEP-NCAR. This is with respect to both lower mean biases and higher squared correlations between modeled and observed grid-cell time series. Squared correlations between monthly time series of ERA-40 and observed precipitation, averaged over the four major Arctic watersheds, typically range from 0.60 to 0.90. Performance over the central Arctic Ocean is poor in winter and spring, but improves in summer and autumn when precipitation amounts are higher. While the overall performance of ERA-40 is better than NCEP-NCAR, it offers no obvious improvement over ERA-15. In some respects, ERA-15 performs slightly better in summer. This lack of improvement may relate to difficulties in assimilating satellite radiances. All of the reanalyses provide better depictions of monthly precipitation than do the GPCP satellite retrievals. This applies to both land areas and the Arctic Ocean. There is no clear improvement in the GPCP estimates after 1987 when the Television Infrared Observational Satellite (TIROS) Operational Vertical Sounder (TOVS) data began to be used. The GPCP estimates are best in summer.</t>
  </si>
  <si>
    <t>Univ Colorado, Cooperat Inst Res Environm Sci, Boulder, CO 80309 USA</t>
  </si>
  <si>
    <t>University of Colorado System; University of Colorado Boulder</t>
  </si>
  <si>
    <t>Serreze, MC (corresponding author), Univ Colorado, Cooperat Inst Res Environm Sci, Campus Box 449, Boulder, CO 80309 USA.</t>
  </si>
  <si>
    <t>serreze@kryos.colorado.edu</t>
  </si>
  <si>
    <t>Lo, Fiona/0000-0003-2705-8619</t>
  </si>
  <si>
    <t>AMER METEOROLOGICAL SOC</t>
  </si>
  <si>
    <t>BOSTON</t>
  </si>
  <si>
    <t>45 BEACON ST, BOSTON, MA 02108-3693 USA</t>
  </si>
  <si>
    <t>0027-0644</t>
  </si>
  <si>
    <t>MON WEATHER REV</t>
  </si>
  <si>
    <t>Mon. Weather Rev.</t>
  </si>
  <si>
    <t>10.1175/MWR3047.1</t>
  </si>
  <si>
    <t>001AS</t>
  </si>
  <si>
    <t>WOS:000234505200002</t>
  </si>
  <si>
    <t>Barker, DM</t>
  </si>
  <si>
    <t>Southern high-latitude ensemble data assimilation in the Antarctic Mesoscale Prediction System</t>
  </si>
  <si>
    <t>4-DIMENSIONAL VARIATIONAL ASSIMILATION; KALMAN FILTER; STATISTICAL STRUCTURE; FORECAST ERRORS; MODEL; IMPLEMENTATION; REPRESENTATION; IMPROVEMENT; WINDS</t>
  </si>
  <si>
    <t>Ensemble data assimilation systems incorporate observations into numerical models via solution of the Kalman filter update equations, and estimates of forecast error covariances derived from ensembles of model integrations. In this paper, a particular algorithm. the ensemble square root filter (EnSRF), is tested in a limited-area, polar numerical weather prediction (NWP) model: the Antarctic Mesoscale Prediction System (AMPS). For application in the real-time AMPS, the number of model integrations that can be run to provide forecast error covariances is limited, resulting in an ensemble sampling error that degrades the analysis fit to observations. In this work, multivariate, climatologically plausible forecast error covariances are specified via averaged forecast difference statistics. Ensemble representations of the true forecast errors, created using randomized control variables of the fifth-generation Pennsylvania State University-National Center for Atmospheric Research (PSU-NCAR) Mesoscale Model (MM5) three-dimensional variational (3DVAR) data assimilation system, are then used to assess the dependence of sampling error on ensemble size, data density, and localization of covariances using simulated observation networks. Results highlight the detrimental impact of ensemble sampling error on the analysis increment structure of correlated, but unobserved fields-an issue not addressed by the spatial covariance localization techniques used to date. A 12-hourly cycling EnSRF/AMPS assimilation/forecast system is tested for a two-week period in December 2002 using real, conventional (surface, rawinsonde. satellite retrieval) observations. The dependence of forecast scores on methods used to maintain ensemble spread and the inclusion of perturbations to lateral boundary conditions are studied.</t>
  </si>
  <si>
    <t>Natl Ctr Atmospher Res, POB 3000, Boulder, CO 80307 USA.</t>
  </si>
  <si>
    <t>dmbarker@ucar.edu</t>
  </si>
  <si>
    <t>Barker, Dale/0000-0002-3527-1375</t>
  </si>
  <si>
    <t>1520-0493</t>
  </si>
  <si>
    <t>10.1175/MWR3042.1</t>
  </si>
  <si>
    <t>WOS:000234505200003</t>
  </si>
  <si>
    <t>Fan, XG; Tilley, JS</t>
  </si>
  <si>
    <t>Dynamic assimilation of MODIS-retrieved humidity profiles within a regional model for high-latitude forecast applications</t>
  </si>
  <si>
    <t>4-DIMENSIONAL DATA-ASSIMILATION; NUMERICAL WEATHER PREDICTION; ENVIRONMENTAL-PREDICTION; PRECIPITATION FORECASTS; RELATIVE-HUMIDITY; SATELLITE DATA; WATER-VAPOR; CLOUD-COVER; SHORT-RANGE; MM5</t>
  </si>
  <si>
    <t>A hot start technique is applied to the fifth-generation Pennsylvania State University-National Center for Atmospheric Research (PSU-NCAR) Mesoscale Model (MM5) to dynamically assimilate cloud properties and humidity profiles retrieved from the Moderate Resolution Imaging Spectroradiometer (MODIS) instrument on board the NASA Earth Observing System polar-orbiting satellites. The assimilation approach has been studied through extensive numerical experimentation for high-latitude rain events to demonstrate the feasibility and the benefit of the approach on the model cloud and precipitation simulation/ forecast. The ingestion of MODIS-retrieved cloud and clear-air humidity information impacts MM5 cloud fields on both a microphysical and macrophysical level. From short-term (6-12 h) forecast experiments conducted for a preliminary test case and 16 extensive summer and winter experiments, the following primary conclusions have been reached. 1) It is feasible to introduce MODIS-retrieved cloud-top properties and humidity profiles into the MM5 model in a hot start mode without disrupting model stability and evolutionary continuity. 2) The introduction of high-resolution MODIS information produced more accurate humidity fields and resulted in increased mesoscale structure in the cloud and precipitation fields. 3) The opportunistic ingestion of MODIS data at its observation time into the model leads to improved 6-12-h model precipitation forecasts with respect to not only the frequency of occurrences, but also the magnitude of precipitation amounts. 4) Verification with three-dimensional analyses indicates some improvement in model forecasts of temperature, wind, pressure perturbation, and sea level pressure as well. 5) Verification with surface station observations indicates that model forecasts of 2-m temperature, 2-m relative humidity, 10-m winds, and sea level pressure are also improved, most notably for the summer cases. The largest improvement in forecast skill is for 2-m relative humidity (12%).</t>
  </si>
  <si>
    <t>Univ Alaska Fairbanks, Inst Geophys, Fairbanks, AK 99775 USA; Univ N Dakota, Reg Weather Informat Ctr, Grand Forks, ND 58201 USA</t>
  </si>
  <si>
    <t>University of Alaska System; University of Alaska Fairbanks; University of North Dakota Grand Forks</t>
  </si>
  <si>
    <t>Univ Alaska Fairbanks, Inst Geophys, 903 Koyukuk Dr,POB 757320, Fairbanks, AK 99775 USA.</t>
  </si>
  <si>
    <t>xfan@gi.alaska.edu</t>
  </si>
  <si>
    <t>Fan, Xingang/A-8648-2009; Fan, Xingang/A-5539-2011</t>
  </si>
  <si>
    <t>Fan, Xingang/0000-0002-0142-330X</t>
  </si>
  <si>
    <t>45 BEACON ST, BOSTON, MA 02108-3693, UNITED STATES</t>
  </si>
  <si>
    <t>10.1175/MWR3044.1</t>
  </si>
  <si>
    <t>WOS:000234505200004</t>
  </si>
  <si>
    <t>Hutchings, JK; Heil, P; Hibler, WD</t>
  </si>
  <si>
    <t>Modeling linear kinematic features in sea ice</t>
  </si>
  <si>
    <t>DEFORMATION; MECHANICS; FRACTURE; FAILURE; MOTION; DRIFT; FLOW</t>
  </si>
  <si>
    <t>Sea ice deformation is localized in narrow zones of high strain rate that extend hundreds of kilometers, for example, across the Arctic Basin. This paper demonstrates that these failure zones may be modeled with a viscous-plastic sea ice model, using an isotropic rheology. If the ice is assumed to be heterogeneous at the grid scale, and allowed to weaken in time, intersecting failure zones propagate across the region. The direction of failure propagation depends upon the stress applied to the ice (wind stress and boundary conditions) and the rheological model describing plastic failure of the ice. The spacing between failure zones is controlled by the magnitude of the wind stress and the distribution describing spatial variability of ice strength. Sea ice motion and deformation oscillate at close to a 12-h period throughout the Arctic and Antarctic pack ice. This oscillation is found at all spatial scales from hundreds of kilometers to the lead scale. It is shown that with an inertial embedded model, sea ice deformation rotates between pairs of fault patterns with a semidiurnal period. It is well known that linear zones of deformation exist at many spatial scales throughout the Arctic Basin. The model presented in this paper may be scaled to simulate these features.</t>
  </si>
  <si>
    <t>Univ Alaska Fairbanks, Int Arctic Res Ctr, Fairbanks, AK 99775 USA; Univ Tasmania, Tasmanian Partnership Adv Comp, Hobart, Tas, Australia</t>
  </si>
  <si>
    <t>University of Alaska System; University of Alaska Fairbanks; University of Tasmania</t>
  </si>
  <si>
    <t>Univ Alaska Fairbanks, Int Arctic Res Ctr, 903 Koyukuk Dr, Fairbanks, AK 99775 USA.</t>
  </si>
  <si>
    <t>jenny@iarc.uaf.edu</t>
  </si>
  <si>
    <t>Hutchings, Jennifer K/P-6356-2017</t>
  </si>
  <si>
    <t>Heil, Petra/0000-0003-2078-0342</t>
  </si>
  <si>
    <t>10.1175/MWR3045.1</t>
  </si>
  <si>
    <t>WOS:000234505200005</t>
  </si>
  <si>
    <t>Mölders, N</t>
  </si>
  <si>
    <t>Plant- and soil-parameter-caused uncertainty of predicted surface fluxes</t>
  </si>
  <si>
    <t>LAND-SURFACE; PART I; MODEL; SCHEME; MOISTURE; SENSITIVITY; IMPACT; WATER; CONDUCTANCE; TEMPERATURE</t>
  </si>
  <si>
    <t>Simulated surface fluxes depend on one or more empirical plant or soil parameters that have a standard deviation (std dev). Thus, simulated fluxes will have a stochastic error (or std dev) resulting from the parameters' std dev. Gaussian error propagation (GEP) principles are used to calculate the std dev for fluxes predicted by the hydro-thermodynamic soil-vegetation scheme to identify prediction limitations due to stochastic errors, parameterization weaknesses, and critical parameters, and to prioritize which parameters to measure with higher accuracy. Relative errors of net radiation, sensible, latent, and ground heat flux, on average, are 7%, 10%, 6%, and 26%, respectively. The analysis identified the parameterization of thermal conductivity as the dominant influence on the std dev of ground heat flux. For net radiation, critical parameters are vegetation fraction and ground emissivity; for sensible and latent heat fluxes, vegetation fraction. Minimum stomatal resistance and leaf area index dominate the std dev of stomatal resistance for most vegetation and soil types. The empirical parameters with the highest relative error are not necessarily the greatest contributors to the std dev of the predicted flux. Based on the analysis high priority should be given to measurements of vegetation fraction, ground emissivity, minimum stomatal resistance, leaf area index in general, and the permanent wilting point and field capacity for clay and clay loam. Moreover, further specification of clay-type soils and tundra-type vegetation may improve the accuracy of the lower boundary condition in Arctic numerical weather prediction. Since GEP showed itself able to identify critical parameters and (parts of) parameterizations, GEP analysis could form a basis for parameterization intercomparisons and for parameter determination aimed at improving models.</t>
  </si>
  <si>
    <t>Univ Alaska Fairbanks, Inst Geophys, Fairbanks, AK 99775 USA</t>
  </si>
  <si>
    <t>University of Alaska System; University of Alaska Fairbanks</t>
  </si>
  <si>
    <t>molders@gi.alaska.edu</t>
  </si>
  <si>
    <t>10.1175/MWR3046.1</t>
  </si>
  <si>
    <t>WOS:000234505200006</t>
  </si>
  <si>
    <t>Stuefer, M; Meng, XD; Wendler, G</t>
  </si>
  <si>
    <t>MM5 contrail forecasting in Alaska</t>
  </si>
  <si>
    <t>GLOBAL DISTRIBUTION; MESOSCALE MODEL; TEMPERATURES; GREENLAND; CLIMATE</t>
  </si>
  <si>
    <t>The fifth-generation Pennsylvania State University-National Center for Atmospheric Research (PSUNCAR) Mesoscale Model (MM5) is being used for forecasting the atmospheric layers of aircraft condensation trail (contrail) formation. Contrail forecasts are based on a conventional algorithm describing the adiabatic mixing of aircraft exhaust with environmental air. Algorithm input data are MM5-forecasted temperature and humidity values at defined pressure or sigma levels, and an aircraft-relevant contrail factor that is derived statistically from a contrail observation database. For comparison purposes a mean overlap (MO), which is a parameter quantifying the overlap between forecasted contrail layers and contrail layers derived from radiosonde measurements. is introduced. Mean overlap values are used to test for the altitude and thickness of forecasted contrail layers. Contrail layers from Arctic MM5 and Air Force Weather Agency (AFWA) MM5 models agree well with contrail layers derived from corresponding radiosonde measurements for certain forecast periods a steady decrease of the MO shows a decrease of contrail forecast accuracy with the increasing forecast period. Mean overlaps around 82% indicate reasonable results for the 48-h forecasts. Verification of MM5 with actual contrail observations shows a slightly better performance of Arctic MM5. A possible dry bias might occur in humidity measurements at low temperature levels due to temperature-dependence errors of the humidity sensor polymer, which might also affect forecasts of humidity of the upper troposphere or lower stratosphere. Despite this fact, this contrail verification study shows hit rates higher than 82% within forecast periods up to 36 h using Arctic MM5.</t>
  </si>
  <si>
    <t>Stuefer, M (corresponding author), Univ Alaska Fairbanks, Inst Geophys, 903 Koyukuk Dr,POB 757320, Fairbanks, AK 99775 USA.</t>
  </si>
  <si>
    <t>Stuefer@gi.alaska.edu</t>
  </si>
  <si>
    <t>10.1175/MWR3048.1</t>
  </si>
  <si>
    <t>WOS:000234505200007</t>
  </si>
  <si>
    <t>Bromwich, DH; Bai, LH; Bjarnason, GG</t>
  </si>
  <si>
    <t>High-resolution regional climate simulations over Iceland using Polar MM5</t>
  </si>
  <si>
    <t>SOUTHERN OSCILLATION; GREENLAND</t>
  </si>
  <si>
    <t>High-resolution regional climate simulations of Iceland for 1991-2000 have been performed using the fifth-generation Pennsylvania State University-National Center for Atmospheric Research (PSU-NCAR) Mesocale Model (MM5) modified for use in polar regions (Polar MM5) with three nested domains and short-duration integrations. The simulated results are compared with monthly mean surface observations from Iceland for 1991-2000 to demonstrate the high level of model performance; correlation coefficients exceed 0.9 for most variables considered. The simulation results are used to analyze the near-surface climate over Iceland. The simulated near-surface winds in winter are primarily katabatic. The land-sea-breeze circulation is clearly evident in summer. The land is colder than the ocean during winter. with a strong (weak) temperature gradient along the southern (northern) coast. This temperature pattern over the sloping terrain forces the katabatic wind. The diurnal cycle of near-surface air temperature is marked in summer over the land areas, which drives the land-sea breeze. The near-surface climate variations for extremes of the North Atlantic Oscillation (NAO) index during winter and summer result from the large-scale atmospheric advection conditions. The time-averaged mesoscale precipitation distribution over Iceland is reasonably well simulated by Polar MM5. Winter precipitation rates are double those during the summer, reflecting the much greater winter cyclonic activity. The simulated interannual precipitation variations during winter for 1991-2000 agree with those observed from snow accumulation measurements on the Vatnajokull ice cap. The winter precipitation decrease for 1991-2000 dominates the annual signal for all of Iceland except the northeastern and eastern parts where the precipitation increases. The large precipitation trends (decadal decrease of up to 50%) are caused by the eastward shift and weakening of the Icelandic low during the 1990s, as a result of changes in the NAO modulation of regional climate.</t>
  </si>
  <si>
    <t>Ohio State Univ, Byrd Polar Res Ctr, Polar Meteorol Grp, Columbus, OH 43210 USA; Ohio State Univ, Dept Geog, Atmospher Sci Program, Columbus, OH 43210 USA; Environm &amp; Food Agcy, Off Environm Protect, Reykjavik, Iceland</t>
  </si>
  <si>
    <t>University System of Ohio; Ohio State University; University System of Ohio; Ohio State University</t>
  </si>
  <si>
    <t>Ohio State Univ, Byrd Polar Res Ctr, Polar Meteorol Grp, 1090 Carmack Rd, Columbus, OH 43210 USA.</t>
  </si>
  <si>
    <t>bromwich@polarmet1.mps.ohio-state.edu</t>
  </si>
  <si>
    <t>Bromwich, David H/C-9225-2016</t>
  </si>
  <si>
    <t>10.1175/MWR3049.1</t>
  </si>
  <si>
    <t>WOS:000234505200008</t>
  </si>
  <si>
    <t>Adams, N</t>
  </si>
  <si>
    <t>Identifying the characteristics of strong southerly wind events at Casey Station in East Antarctica using a numerical weather prediction system</t>
  </si>
  <si>
    <t>FIELD</t>
  </si>
  <si>
    <t>Casey Station in East Antarctica is not often subject to strong southerly flow off the Antarctic continent but when such events occur, operations at the station are often adversely impacted. Not only are the dynamics of such events poorly understood, but the forecasting of such occurrences is difficult. The following study uses model output from a 12-month experiment using the Antarctic Limited-Area Prediction System (ALAPS) to advance the understanding of the dynamics of such events and postulates that what are often described as katabatic wind events are more likely to be synoptic in scale, with mid- and upper-level tropospheric dynamics forcing the surface layer flow. Strong surface layer flows that have a katabatic signature commonly develop on the steep Antarctic escarpment but rarely extend out over the coast in the Casey area, most probably as a result of cold air damming. However, the development of a strong south-southwesterly jet over Casey provides a mechanism whereby the katabatic can move out off the coast.</t>
  </si>
  <si>
    <t>Australian Bur Meteorol, Hobart, Tas 7001, Australia; Cooperat Res Ctr, Hobart, Tas, Australia</t>
  </si>
  <si>
    <t>Bureau of Meteorology - Australia</t>
  </si>
  <si>
    <t>Adams, N (corresponding author), Australian Bur Meteorol, GPO Box 727, Hobart, Tas 7001, Australia.</t>
  </si>
  <si>
    <t>N.Adams@bom.gov.au</t>
  </si>
  <si>
    <t>10.1175/MWR3050.1</t>
  </si>
  <si>
    <t>WOS:000234505200009</t>
  </si>
  <si>
    <t>Hopkin, M</t>
  </si>
  <si>
    <t>Antarctic ice puts climate predictions to the test</t>
  </si>
  <si>
    <t>NATURE</t>
  </si>
  <si>
    <t>A record of greenhouse gases spanning the past 650,000 years has made headlines around the globe. Researchers from the European Project for Ice Coring in Antarctica sampled air bubbles preserved inside a 3,000-metre ice core drilled at Dome C in eastern Antarctica. The data show previous fluctuations in levels greenhouse gases in unprecedented detail and proves that the levels of carbon dioxide and methane totally outstrip those of the preindustrial era.</t>
  </si>
  <si>
    <t>NATURE PUBLISHING GROUP</t>
  </si>
  <si>
    <t>MACMILLAN BUILDING, 4 CRINAN ST, LONDON N1 9XW, ENGLAND</t>
  </si>
  <si>
    <t>0028-0836</t>
  </si>
  <si>
    <t>1476-4687</t>
  </si>
  <si>
    <t>Nature</t>
  </si>
  <si>
    <t>10.1038/438536b</t>
  </si>
  <si>
    <t>988JY</t>
  </si>
  <si>
    <t>WOS:000233593100005</t>
  </si>
  <si>
    <t>Ellis, JC</t>
  </si>
  <si>
    <t>Marine birds on land: a review of plant biomass, species richness, and community composition in seabird colonies</t>
  </si>
  <si>
    <t>coastal ecology; conservation; guano; islands; nutrients; ornithogenic soils; physical disturbance</t>
  </si>
  <si>
    <t>GULLS LARUS-CACHINNANS; JAN MAYEN ISLAND; NEW-ZEALAND; MEDITERRANEAN ISLANDS; GREAT-LAKES; PEMBROKESHIRE ISLANDS; TERRESTRIAL HABITATS; PHALACROCORAX-CARBO; ALLOCHTHONOUS INPUT; WESTERN-AUSTRALIA</t>
  </si>
  <si>
    <t>Seabirds are chemical and physical engineers that are capable of transforming terrestrial vegetation by altering edaphic conditions, generating physical disturbance, and affecting seed dispersal. Substantial changes in seabird populations are occurring worldwide and are likely to have important consequences for plant community composition on islands and coastal areas. This review focuses on the impact of seabirds on plant biomass, species richness and community composition. A total of 57 publications (42 studies) were selected for review. Of the 42 studies represented in the publications, 55% were descriptive. Most studies took place in Australia, New Zealand, the British Isles, Japan, North America, and sub-Antarctic islands. A few studies showed that aboveground plant biomass in seabird colonies increased with sufficient rainfall and moderate temperatures. The majority of studies on plant species richness showed a decrease in seabird colonies compared to areas unaffected by birds. However, species richness was higher in areas of intermediate seabird disturbance, compared to undisturbed areas. Moreover, the effects of seabirds on species richness varied with respect to island size. Most studies of plant community composition indicated that annuals, ''ruderals, and cosmopolitan species increased in abundance in seabird colonies. Changes in plant communities in seabird colonies appear to result mainly from altered soil nutrient concentrations and pH, increased physical disturbance, and seed dispersal by seabirds and humans. However, few studies have rigorously studied the relative importance of these alterations. Both the direction and magnitude of seabird effects are modified by: (1) density of birds, (2) temperature and precipitation, and (3) proximity to human habitation. A reduction in seabird populations is likely to have negative consequences for native plant species that rely on seabird disturbance for their persistence. However, seed dispersal by nesting seabirds, especially gulls, frequently leads to invasion by cosmopolitan plant species and declines of native species. Further studies that incorporate both quantitative sampling and manipulative experiments would go a long way in improving our understanding of how seabirds affect plant communities.</t>
  </si>
  <si>
    <t>Brown Univ, Dept Ecol &amp; Evolutionary Biol, Providence, RI 02912 USA</t>
  </si>
  <si>
    <t>Brown University</t>
  </si>
  <si>
    <t>Ellis, JC (corresponding author), Cornell Univ, Shoals Marine Lab, G-14 Stimson Hall, Ithaca, NY 14853 USA.</t>
  </si>
  <si>
    <t>Julie_Ellis@brown.edu</t>
  </si>
  <si>
    <t>Ellis, Julie/ABF-4882-2020</t>
  </si>
  <si>
    <t>10.1007/s11258-005-7147-y</t>
  </si>
  <si>
    <t>987LR</t>
  </si>
  <si>
    <t>WOS:000233519900007</t>
  </si>
  <si>
    <t>Siegel, V</t>
  </si>
  <si>
    <t>Distribution and population dynamics of Euphausia superba:: summary of recent findings</t>
  </si>
  <si>
    <t>SOUTH SHETLAND ISLANDS; WAVE BORN APPROXIMATION; MARGINAL ICE-ZONE; ANTARCTIC KRILL; SCOTIA SEA; WEDDELL SEA; GENETIC-VARIATION; MARINE ECOSYSTEM; ELEPHANT ISLAND; ENERGETIC COST</t>
  </si>
  <si>
    <t>Antarctic krill, Euphausia superba, has been studied since the early 1920s including distribution, life cycle and behavioural biology. Quantitative aspects of distribution, biomass and demography were becoming more important since the late 1970s when a rapidly developing krill fishery started to exploit this unique resource. Since then, opinions have sometimes changed even on the appraisal of basic features such as small and large scale distribution or dispersion as well as on seasonal and interannual changes in biomass. Finally, the stability and size of the entire population had to be revised, which was believed to be relatively stable in a stable environment. Recent work has shown that the krill stocks are undergoing long-term changes and proximate and ultimate causes are still under discussion. Hence, it seems timely to review the current status of the discussion of sometime diverging interpretation of the results on krill distribution and stock dynamics for various spatial and temporal scales.</t>
  </si>
  <si>
    <t>Inst Seefischerei, Bundesforsch Fischerei, D-22767 Hamburg, Germany</t>
  </si>
  <si>
    <t>Inst Seefischerei, Bundesforsch Fischerei, Palmaille 9, D-22767 Hamburg, Germany.</t>
  </si>
  <si>
    <t>volker.siegel@ish.bfa-fisch.de</t>
  </si>
  <si>
    <t>10.1007/s00300-005-0058-5</t>
  </si>
  <si>
    <t>992FF</t>
  </si>
  <si>
    <t>WOS:000233869100001</t>
  </si>
  <si>
    <t>Masini, MA; Sturla, M; Ricci, F; Uva, BM</t>
  </si>
  <si>
    <t>Identification and distribution of nitric oxide synthase in the brain of adult Antarctic teleosts</t>
  </si>
  <si>
    <t>FISH CHAENOCEPHALUS-ACERATUS; CARASSIUS-AURATUS; NERVOUS-SYSTEM; BLOOD-FLOW; HEMOGLOBIN</t>
  </si>
  <si>
    <t>We investigated the presence of nitric oxide synthase (NOS) in brain of adult Antarctic teleosts by indirect immunofluorescence technique using a synthetic rat neuronal NOS (nNOS) antibody. The following species were examined: Trematomus bernacchii, Gymnodraco acuticeps, Histiodraco velifer, Cygnodraco mawsoni (haemoglobin-rich), Chionodraco hamatus and Pagetopsis macropterus (haemoglobin-free). Immunoreactive cell bodies were localized in dorsal telencephalon, in hypothalamus, in optic tectum of the mesencephalon as well as in Purkinje cells of the cerebellum. No differences were observed in the localization of the nNOS immunopositivity in the Antarctic teleosts brains examined and NOS distribution was similar to that described in other teleosts, suggesting that nitric oxide (NO) may also function as a neurotransmitter in the brain of Antarctic teleosts. A strong immunopositivity was observed in the cerebral blood vessels of the icefishes suggesting that NO may play a pivotal role in the regulation of the cerebral blood flow especially in these haemoglobin-free species.</t>
  </si>
  <si>
    <t>Univ Genoa, Dipartimento Biol, I-16132 Genoa, Italy; ENEA, GSP1 Antartide, CR Casaccia, I-00060 Rome, Italy</t>
  </si>
  <si>
    <t>University of Genoa; Italian National Agency New Technical Energy &amp; Sustainable Economics Development</t>
  </si>
  <si>
    <t>Masini, MA (corresponding author), Univ Genoa, Dipartimento Biol, Viale Benedetto 15 5, I-16132 Genoa, Italy.</t>
  </si>
  <si>
    <t>masini@unige.it</t>
  </si>
  <si>
    <t>10.1007/s00300-005-0033-1</t>
  </si>
  <si>
    <t>WOS:000233869100002</t>
  </si>
  <si>
    <t>Corzo, A; Rodríguez-Gálvez, S; Lubian, L; Sobrino, C; Sangrá, P; Martínez, A</t>
  </si>
  <si>
    <t>Antarctic marine bacterioplankton subpopulations discriminated by their apparent content of nucleic acids differ in their response to ecological factors</t>
  </si>
  <si>
    <t>WESTERN BRANSFIELD STRAIT; FLOW-CYTOMETRY; GERLACHE STRAIT; DNA-CONTENT; CELL-SIZE; EPIFLUORESCENCE MICROSCOPY; PHYTOPLANKTON BIOMASS; BACTERIAL-POPULATIONS; PLANKTONIC BACTERIA; SPATIAL VARIABILITY</t>
  </si>
  <si>
    <t>Bacterial abundances determined in Drake Passage and Bransfield and Gerlache Straits (Antarctica) in the Austral summer ranged from 0.78 to 9.4x10(5) cells ml(-1), and were positively correlated with standing stocks of Chl a. Two bacterial subpopulations were discriminated based in their different levels of green fluorescence and wide angle light scatter (SSC) per cell after SYTO-13 staining for the first time in Antarctic waters. High nucleic acid (HNA) and low nucleic acid (LNA) subpopulations differed considerably in their response to changes in environmental variables. The apparent content of nucleic acids per cell for the HNA subpopulation (FL1-HNA) showed vertical profiles similar to those of Chl a, including the presence of a maximum at the subsurface chlorophyll maximum. FL1-HNA was positively correlated with Chl a. No similar trends were observed for the LNA fraction. HNA and LNA subpopulations differed in the response of the wide angle light scatter signal to environmental factors as well. SSC-HNA decreased strongly with depth and was positively correlated with Chl a. Again, no similar trends were observed for the LNA subpopulation. The percentage of HNA cells (%HNA) ranged between 35.0 and 76.7% and showed a general tendency to increase with depth. This increase seemed to be larger when the stratification of the water column was higher. Differences in grazing pressure could be responsible of the unexpected vertical distribution of HNA cells. Our results shows that in situ LNA and HNA bacterioplankton subpopulations are under different ecological controls and likely to play different trophodynamic roles in Antarctic waters.</t>
  </si>
  <si>
    <t>Univ Cadiz, Fac Ciencias Mar &amp; Ambientales, Dept Biol, Puerto Real 11510, Spain; CSIC, Inst Ciencias Marinas Andalucia, Puerto Real 11510, Spain; Campus Univ Tafira, Dept Fis, Las Palmas Gran Canaria 35017, Spain</t>
  </si>
  <si>
    <t>Universidad de Cadiz; Consejo Superior de Investigaciones Cientificas (CSIC); CSIC - Centro Mediterraneo de Investigaciones Marinas y Ambientales (CMIMA); CSIC - Instituto de Ciencias del Mar (ICM); CSIC - Instituto de Ciencias Marinas de Andalucia (ICMAN)</t>
  </si>
  <si>
    <t>Univ Cadiz, Fac Ciencias Mar &amp; Ambientales, Dept Biol, Puerto Real 11510, Spain.</t>
  </si>
  <si>
    <t>alfonso.corzo@uca.es</t>
  </si>
  <si>
    <t>LUBIAN, LUIS M/L-7241-2014; Sobrino, Cristina/J-3534-2012; Rodriguez-Galvez, Susana/I-8866-2017; Corzo Rodriguez, Alfonso/L-9669-2015; Martinez-Marrero, Antonio/Q-6714-2017; Sangra, Pablo/I-1350-2015</t>
  </si>
  <si>
    <t>Sobrino, Cristina/0000-0003-0431-1220; Corzo Rodriguez, Alfonso/0000-0003-3718-941X; Rodriguez-Galvez, Susana/0000-0003-2338-2315; Martinez-Marrero, Antonio/0000-0002-2376-1561; Sangra, Pablo/0000-0002-6600-2194</t>
  </si>
  <si>
    <t>10.1007/s00300-005-0032-2</t>
  </si>
  <si>
    <t>WOS:000233869100003</t>
  </si>
  <si>
    <t>La Mesa, M; Vacchi, M</t>
  </si>
  <si>
    <t>On the second record of the Antarctic plunderfish Artedidraco glareobarbatus (Artedidraconidae) from the Ross Sea</t>
  </si>
  <si>
    <t>DOLLOIDRACO-LONGEDORSALIS PERCIFORMES; POGONOPHRYNE PISCES; MENTAL BARBEL</t>
  </si>
  <si>
    <t>A new species of Antarctic plunderfish, Artedidraco glareobarbatus, has recently been identified from two specimens collected in the Ross Sea. On the basis of additional material composed of two specimens and a new colour morph, meristic and morphometric data of the species is updated. A complete set of measurements and counts was made on the new specimens following the previous authors. An accurate description of the mental barbel, which represents a key diagnostic character in this family, is provided. In particular, on the basis of external morphology of skin of the terminal expansion, two different types of mental barbel can be distinguished: a typical form as described in the holotype and paratype, and a new form, found in two specimens, with the terminal expansion consisting of irregular processes similar to flattened and convoluted ridges separated by deep furrows. Finally, the new colour morph, represented by a spotted specimen, is also described in detail.</t>
  </si>
  <si>
    <t>CNR, ISMAR, Ist Sci Marine, I-60125 Ancona, Italy; Univ Genoa, ICRAM, Museo Nazl Antartide, I-16132 Genoa, Italy</t>
  </si>
  <si>
    <t>La Mesa, M (corresponding author), CNR, ISMAR, Ist Sci Marine, Largo Fiera Pesca, I-60125 Ancona, Italy.</t>
  </si>
  <si>
    <t>10.1007/s00300-005-0029-x</t>
  </si>
  <si>
    <t>WOS:000233869100004</t>
  </si>
  <si>
    <t>Holeton, CL; Nédélec, F; Sanders, R; Brown, L; Moore, CM; Stevens, DP; Heywood, KJ; Statham, PJ; Lucas, CH</t>
  </si>
  <si>
    <t>Physiological state of phytoplankton communities in the Southwest Atlantic sector of the Southern Ocean, as measured by fast repetition rate fluorometry</t>
  </si>
  <si>
    <t>ANTARCTIC POLAR FRONT; IRON-LIMITATION; PRIMARY PRODUCTIVITY; ACTIVE FLUORESCENCE; SCOTIA SEA; PHOTOSYNTHESIS; LIGHT; CO2; VARIABILITY; IRRADIANCE</t>
  </si>
  <si>
    <t>The majority of the Southern Ocean is a high-nutrient low-chlorophyll (HNLC) ecosystem. Localized increases in chlorophyll concentration measured in the wake of bathymetric features near South Georgia demonstrate variations in the factors governing the HNLC condition. We explore the possibility that the contrast between these areas of high-chlorophyll and surrounding HNLC areas is associated with variations in phytoplankton photophysiology. Total dissolvable iron concentrations, phytoplankton photophysiology and community structure were investigated in late April 2003 on a transect along the North Scotia Ridge (53-54 degrees S) between the Falkland Islands and South Georgia (58-33 degrees W). Total dissolvable iron concentrations suggested a benthic source of iron near South Georgia. Bulk community measurements of dark-adapted photochemical quantum efficiency (F (v)/F (m)) exhibited a sharp increase to the east of 46 degrees W coincident with a decrease in the functional absorption cross-section (delta(PSII)). Phytoplankton populations east of 46 degrees W thus displayed no physiological symptoms of iron or nitrate stress. Contrasting low F (v)/F (m) west of 46 degrees W could not be explained by variations in the macronutrients nitrate and silicic acid and may be the result of taxon specific variability in photophysiology or iron stress. We hypothesize that increased F (v)/F (m) resulted from local relief from iron-stress near South Georgia, east of Aurora Bank, an area previously speculated to be a pulse point source of iron. Our measurements provide one of the first direct physiological confirmations that iron stress is alleviated in phytoplankton populations near South Georgia.</t>
  </si>
  <si>
    <t>Univ E Anglia, Sch Math, Norwich NR4 7TJ, Norfolk, England; Univ E Anglia, Sch Environm Sci, Norwich NR4 7TJ, Norfolk, England</t>
  </si>
  <si>
    <t>University of East Anglia; University of East Anglia</t>
  </si>
  <si>
    <t>Natl Oceanog Ctr, Southampton SO14 3ZH, Hants, England.</t>
  </si>
  <si>
    <t>clh302@soc.soton.ac.uk</t>
  </si>
  <si>
    <t>Menet-Nedelec, Florence H. A./K-2262-2015; Sanders, Richard J/B-8717-2012; Holeton, Claire/GWU-9618-2022; Lucas, Cathy H/N-1230-2013; Heywood, Karen/L-1757-2016; Stevens, David/F-2509-2010</t>
  </si>
  <si>
    <t>Menet-Nedelec, Florence H. A./0000-0002-0933-2509; Sanders, Richard J/0000-0002-6884-7131; Lucas, Cathy H/0000-0002-5929-7481; Heywood, Karen/0000-0001-9859-0026; Holeton, Claire/0000-0002-5806-1370; Moore, Mark/0000-0002-9541-6046; Stevens, David/0000-0002-7283-4405</t>
  </si>
  <si>
    <t>10.1007/s00300-005-0028-y</t>
  </si>
  <si>
    <t>WOS:000233869100005</t>
  </si>
  <si>
    <t>Ritz, MS; Hahn, S; Peter, HU</t>
  </si>
  <si>
    <t>Factors affecting chick growth in the South Polar Skua (Catharacta maccormicki):: food supply, weather and hatching date</t>
  </si>
  <si>
    <t>WILSONS STORM-PETRELS; CORVUS-CORONE-CORONE; LIFE-HISTORY STAGES; BREEDING SUCCESS; BROWN SKUAS; TERN CHICKS; BROOD SIZE; ANTARCTICA-LONNBERGI; SEASONAL-VARIATION; SUPPLEMENTAL FOOD</t>
  </si>
  <si>
    <t>This study investigated chick growth in a pelagic Antarctic seabird, the South Polar Skua (Catharacta maccormicki). The factors food supply, weather and hatching date were analysed in a population of 54 breeding pairs at King George Island/South Shetland Islands. Food supply was manipulated by offering fish corresponding to 20% of daily energy demand of chicks to half of the breeding pairs every second day. Growth of mass, head, wing and tarsus was followed and related to the treatment, weather conditions, hatching date and interactive effects. Food supply did not limit chick growth in the studied season. Parents seemed to try to feed their chicks at a maximum rate and succeeded in the studied season because the general food supply was very good. Low temperatures and strong winds depressed chick growth. A growth advantage of food-supplemented chicks could be observed when the natural conditions for chick growth were sub-optimal. Chick growth rate was strongly negatively associated with hatching date and worsening weather during the reproductive season could be excluded as explanatory variable for this finding.</t>
  </si>
  <si>
    <t>Univ Jena, Inst Ecol, D-07743 Jena, Germany</t>
  </si>
  <si>
    <t>Friedrich Schiller University of Jena</t>
  </si>
  <si>
    <t>Ritz, MS (corresponding author), Univ Jena, Inst Ecol, Dornburger Str 159, D-07743 Jena, Germany.</t>
  </si>
  <si>
    <t>markus.ritz@uni-jena.de</t>
  </si>
  <si>
    <t>Ritz, Markus S./A-5321-2008</t>
  </si>
  <si>
    <t>10.1007/s00300-005-0027-z</t>
  </si>
  <si>
    <t>WOS:000233869100006</t>
  </si>
  <si>
    <t>Barnes, DKA; Kuklinski, P</t>
  </si>
  <si>
    <t>Low colonisation on artificial substrata in arctic Spitsbergen</t>
  </si>
  <si>
    <t>ICE-SCOUR; DIVERSITY; PATTERNS</t>
  </si>
  <si>
    <t>High polar communities tend to be young because of the frequent and intense impact of ice (scour), so colonisation patterns are particularly important. Yet, despite a wealth of studies at temperate and tropical latitudes, we know of no hard substratum settlement/colonisation experiments reported north of 60 degrees N, to date. Here we report on fauna encrusting square panels immersed at 12 m depth in Isforden, Spitsbergen (Svalbard) after 2 and 3 days, a week and a year. Arctic colonisation is slow but is not species poor. We found no colonists present after 2 and 3 days but two panels were colonised by a bryozoan and polychaetes after a week. After a year immersion, three panels were 3, 5 and 11% covered with a mean of similar to 247 colonists. This is about an order of magnitude lower than has been described from most studies elsewhere, but not as low as has been recorded at an Antarctic locality. Most individual colonists (80-93%) were polychaetes (Spirorbis tridentatus) but most of the species were bryozoans. The Arctic is widely described as taxon poor compared with elsewhere, but at the local scale we investigated, species richness (20) was as high or higher than in many similar colonisation studies along the north Pacific or Atlantic coasts. In striking contrast, no settlement panel study has yielded fewer higher taxa (2 phyla, 3 classes) than this high arctic study.</t>
  </si>
  <si>
    <t>NERC, British Antarctic Survey, Cambridge CB3 0ET, England; Polish Acad Sci, Marine Ecol Dept, Inst Oceanol, PL-81712 Sopot, Poland; Nat Hist Museum, London SW7 5BD, England</t>
  </si>
  <si>
    <t>UK Research &amp; Innovation (UKRI); Natural Environment Research Council (NERC); NERC British Antarctic Survey; Polish Academy of Sciences; Institute of Oceanology of the Polish Academy of Sciences; Natural History Museum London</t>
  </si>
  <si>
    <t>NERC, British Antarctic Survey, High Cross,Madingley Rd, Cambridge CB3 0ET, England.</t>
  </si>
  <si>
    <t>Kuklinski, Piotr/0000-0002-1507-215X</t>
  </si>
  <si>
    <t>10.1007/s00300-005-0044-y</t>
  </si>
  <si>
    <t>WOS:000233869100008</t>
  </si>
  <si>
    <t>Munilla, T; Ramos, A</t>
  </si>
  <si>
    <t>Ammothea bigibbosa (Arthropoda, Pycnogonida), a new species of the Antarctic Peninsula waters</t>
  </si>
  <si>
    <t>A new species Ammothea bigibbosa, collected with the Agassiz trawl in Margarita Bay at 517 m, is described, illustrated and compared with the similar species A. gordonae and A. adunca.</t>
  </si>
  <si>
    <t>Univ Autonoma Barcelona, Zool Lab, E-08193 Barcelona, Spain; IEO, Ctr Oceanogr Fuengirola, Malaga, Spain</t>
  </si>
  <si>
    <t>Autonomous University of Barcelona</t>
  </si>
  <si>
    <t>Univ Autonoma Barcelona, Zool Lab, E-08193 Barcelona, Spain.</t>
  </si>
  <si>
    <t>tomas.munilla@uab.es</t>
  </si>
  <si>
    <t>10.1007/s00300-005-0039-8</t>
  </si>
  <si>
    <t>WOS:000233869100009</t>
  </si>
  <si>
    <t>Taylor, J; Laimon, S; Valdés, A</t>
  </si>
  <si>
    <t>Is Doris georgiensis Garcia et al. 1993 a distinct species of dorid nudibranch?</t>
  </si>
  <si>
    <t>REVISION</t>
  </si>
  <si>
    <t>The reproductive system and radular morphology of several specimens of Doris collected in the Antarctic Ocean were examined in an attempt to clarify the taxonomic status of Doris kerguelenensis and its possible synonym Doris georgiensis. A comparative analysis of the samples was conducted to find correlations between the anatomy of the bursa copulatrix and variations in the radular morphology and external features of these two species. Some consistent differences were found, suggesting the possibility of the existence of two distinct species, but further investigations are necessary to substantiate these conclusions.</t>
  </si>
  <si>
    <t>Nat Hist Museum Los Angeles Cty, Los Angeles, CA 90007 USA; Environm Charter High Sch, Lawndale, CA 90260 USA</t>
  </si>
  <si>
    <t>Nat Hist Museum Los Angeles Cty, 900 Exposit Blvd, Los Angeles, CA 90007 USA.</t>
  </si>
  <si>
    <t>jenni_taylor@echsonline.org</t>
  </si>
  <si>
    <t>Valdes, Angel A/Q-1729-2018; Valdes, Angel/K-3051-2012</t>
  </si>
  <si>
    <t>Valdes, Angel/0000-0002-2347-4896</t>
  </si>
  <si>
    <t>10.1007/s00300-005-0031-3</t>
  </si>
  <si>
    <t>WOS:000233869100010</t>
  </si>
  <si>
    <t>Hofmeyr, GJG; Bester, MN; Kirkman, SP</t>
  </si>
  <si>
    <t>Leucistic Antarctic fur seals at Bouvetoya</t>
  </si>
  <si>
    <t>Arctocephalus gazella; leucism; Bouvetoya; founder effect</t>
  </si>
  <si>
    <t>ARCTOCEPHALUS-GAZELLA; SOUTH GEORGIA; TROPICALIS</t>
  </si>
  <si>
    <t>One leucistic and one partially leucistic Antarctic fur seal Arctocephalus gazella were seen at Bouvetoya during the 1996/97 austral summer. Both likely came from South Georgia, where this colour morph is common. No individuals of this colour morph were sighted during three subsequent expeditions to Bouvetoya. The prevalence of this colour morph in the abundant populations of the Scotia Arc may be due to founder effect, as at least one leucistic animal was present at South Georgia when the Antarctic fur seal was close to extinction.</t>
  </si>
  <si>
    <t>Univ Pretoria, Dept Zool &amp; Entomol, Mammal Res Inst, ZA-0002 Pretoria, South Africa</t>
  </si>
  <si>
    <t>University of Pretoria</t>
  </si>
  <si>
    <t>Hofmeyr, GJG (corresponding author), Univ Pretoria, Dept Zool &amp; Entomol, Mammal Res Inst, ZA-0002 Pretoria, South Africa.</t>
  </si>
  <si>
    <t>ghofmeyr@zoology.up.ac.za</t>
  </si>
  <si>
    <t>Bester, Marthán N/E-5387-2010; Hofmeyr, G. J. Greg/AAV-3286-2020; Kirkman, Stephen/AAA-9139-2021</t>
  </si>
  <si>
    <t>Hofmeyr, G. J. Greg/0000-0003-0283-6058; Kirkman, Stephen/0000-0001-5428-7375</t>
  </si>
  <si>
    <t>10.1007/s00300-005-0030-4</t>
  </si>
  <si>
    <t>WOS:000233869100011</t>
  </si>
  <si>
    <t>Cantrill, DJ; Nagalingum, NS</t>
  </si>
  <si>
    <t>Ferns from the Cretaceous of Alexander Island, Antarctica: Implications for Cretaceous phytogeography of the Southern Hemisphere</t>
  </si>
  <si>
    <t>REVIEW OF PALAEOBOTANY AND PALYNOLOGY</t>
  </si>
  <si>
    <t>ferns; Osmundaceae; Cretaceous; Albian; Antarctica; biogeography</t>
  </si>
  <si>
    <t>NEW-ZEALAND; SHETLAND ISLANDS; EASTERN OTAGO; MACROFLORAS; LIVINGSTON; PALYNOLOGY; SUCCESSION; PENINSULA; HISTORY; FOLIAGE</t>
  </si>
  <si>
    <t>Six new records of ferns from the late Albian flora of Alexander Island, Antarctic Peninsula, provide further evidence for a widespread Cretaceous Austral flora. Phyllopteroides antarctica sp. nov. is the first record of this genus from Antarctica, extending its range from Australia, New Zealand, and India. It appears that Phyllopteroides forms an important component of eastern Gondwana mid-Cretaceous floras. Further floristic affinities with Australia are supported by the presence of Sphenopteris warragulensis, Microphyllopteris and Coniopteris sp. cf. C. frutiformis. Few southern South American forms can be recognized and these include Sphenopteris sanjuliensis. The Alexander Island flora comprises a mixture of endemic, eastern Gondwanan, and rare South American elements that reflect its position close to a major floristic boundary. (c) 2005 Elsevier B.V. All rights reserved.</t>
  </si>
  <si>
    <t>Swedish Museum Nat Hist, Dept Palaeobot, SE-10405 Stockholm, Sweden; Univ Melbourne, Sch Bot, Melbourne, Vic 3010, Australia</t>
  </si>
  <si>
    <t>Swedish Museum of Natural History; University of Melbourne; Melbourne Bioinformatics</t>
  </si>
  <si>
    <t>Swedish Museum Nat Hist, Dept Palaeobot, Box 50007, SE-10405 Stockholm, Sweden.</t>
  </si>
  <si>
    <t>David.Cantrill@nrm.se</t>
  </si>
  <si>
    <t>Cantrill, David/R-1415-2019</t>
  </si>
  <si>
    <t>Cantrill, David/0000-0002-1185-4015</t>
  </si>
  <si>
    <t>0034-6667</t>
  </si>
  <si>
    <t>1879-0615</t>
  </si>
  <si>
    <t>REV PALAEOBOT PALYNO</t>
  </si>
  <si>
    <t>Rev. Palaeobot. Palynology</t>
  </si>
  <si>
    <t>10.1016/j.revpalbo.2005.08.004</t>
  </si>
  <si>
    <t>Plant Sciences; Paleontology</t>
  </si>
  <si>
    <t>996PX</t>
  </si>
  <si>
    <t>WOS:000234187600001</t>
  </si>
  <si>
    <t>Oppenheimer, M</t>
  </si>
  <si>
    <t>Defining dangerous anthropogenic interference: The role of science, the limits of science</t>
  </si>
  <si>
    <t>RISK ANALYSIS</t>
  </si>
  <si>
    <t>climate change; global warming; ice sheets; precautionary principle; UNFCCC</t>
  </si>
  <si>
    <t>SEA-LEVEL RISE; ANTARCTIC ICE-SHEET; CLIMATE-CHANGE; SURFACE MELT; GREENLAND; COLLAPSE; IMPACTS; POLICY; ACCELERATION; SHELF</t>
  </si>
  <si>
    <t>Defining dangerous anthropogenic interference with the climate system in the context of Article 2 of the UN Framework Convention on Climate Change (UNFCCC) presents a complex challenge for those developing long-term climate policy. Natural science has a key role to play in quantifying vulnerabilities of elements of the Earth system and estimating the risks from a changing climate. But attempts to interpret Article 2 will inevitably draw on understanding from social science, psychology, law, and ethics. Here I consider the limits of science in defining climate danger by focusing on the potential disintegration of the major ice sheets as an example of an extreme impact. I show that considerations of timescale, uncertainty, and learning preclude a definition of danger drawn purely from natural science. Decisionmakers will be particularly challenged by one characteristic of global problems: answers to some scientific questions become less accurate over decadal timescales, meandering toward the wrong answer, a feature I call negative learning. I argue for a precautionary approach to Article 2 that would be based initially on current, limited scientific understanding of the future of the ice sheets.</t>
  </si>
  <si>
    <t>Princeton Univ, Woodrow Wilson Sch, Princeton, NJ 08544 USA; Princeton Univ, Dept Geosci, Princeton, NJ 08544 USA</t>
  </si>
  <si>
    <t>Princeton University; Princeton University</t>
  </si>
  <si>
    <t>Princeton Univ, Woodrow Wilson Sch, Robertson Hall 448, Princeton, NJ 08544 USA.</t>
  </si>
  <si>
    <t>omichael@princeton.edu</t>
  </si>
  <si>
    <t>0272-4332</t>
  </si>
  <si>
    <t>1539-6924</t>
  </si>
  <si>
    <t>RISK ANAL</t>
  </si>
  <si>
    <t>Risk Anal.</t>
  </si>
  <si>
    <t>10.1111/j.1539-6924.2005.00687.x</t>
  </si>
  <si>
    <t>Public, Environmental &amp; Occupational Health; Mathematics, Interdisciplinary Applications; Social Sciences, Mathematical Methods</t>
  </si>
  <si>
    <t>Public, Environmental &amp; Occupational Health; Mathematics; Mathematical Methods In Social Sciences</t>
  </si>
  <si>
    <t>996YF</t>
  </si>
  <si>
    <t>WOS:000234211500004</t>
  </si>
  <si>
    <t>Arnell, NW; Tompkins, EL; Adger, WN</t>
  </si>
  <si>
    <t>Eliciting information from experts on the likelihood of rapid climate change</t>
  </si>
  <si>
    <t>dangerous climate change; Europe; expert elicitation; rapid climate change; risk assessment; thermohaline collapse</t>
  </si>
  <si>
    <t>THERMOHALINE CIRCULATION; RISK; UNCERTAINTY; POLICY; OCEAN; PREDICTIONS; ELICITATION; PROJECTIONS; ENSEMBLE; COLLAPSE</t>
  </si>
  <si>
    <t>The threat of so-called rapid or abrupt climate change has generated considerable public interest because of its potentially significant impacts. The collapse of the North Atlantic Thermohaline Circulation or the West Antarctic Ice Sheet, for example, would have potentially catastrophic effects on temperatures and sea level, respectively. But how likely are such extreme climatic changes? Is it possible actually to estimate likelihoods? This article reviews the societal demand for the likelihoods of rapid or abrupt climate change, and different methods for estimating likelihoods: past experience, model simulation, or through the elicitation of expert judgments. The article describes a survey to estimate the likelihoods of two characterizations of rapid climate change, and explores the issues associated with such surveys and the value of information produced. The surveys were based on key scientists chosen for their expertise in the climate science of abrupt climate change. Most survey respondents ascribed low likelihoods to rapid climate change, due either to the collapse of the Thermohaline Circulation or increased positive feedbacks. In each case one assessment was an order of magnitude higher than the others. We explore a high rate of refusal to participate in this expert survey: many scientists prefer to rely on output from future climate model simulations.</t>
  </si>
  <si>
    <t>Univ Southampton, Sch Geog, Tyndall Ctr Climate Change Res, Southampton SO17 1BJ, Hants, England; Univ E Anglia, Sch Environm Sci, Tyndall Ctr Climate Change Res, Norwich NR4 7TJ, Norfolk, England</t>
  </si>
  <si>
    <t>University of Southampton; University of East Anglia</t>
  </si>
  <si>
    <t>Univ Southampton, Sch Geog, Tyndall Ctr Climate Change Res, Southampton SO17 1BJ, Hants, England.</t>
  </si>
  <si>
    <t>n.w.arnell@soton.ac.uk</t>
  </si>
  <si>
    <t>Arnell, Nigel/AAC-7331-2020; Tompkins, Emma/B-6863-2016; Adger, William Neil/F-7676-2010</t>
  </si>
  <si>
    <t>Tompkins, Emma/0000-0002-4825-9797; Adger, William Neil/0000-0003-4244-2854</t>
  </si>
  <si>
    <t>10.1111/j.1539-6924.2005.00689.x</t>
  </si>
  <si>
    <t>WOS:000234211500006</t>
  </si>
  <si>
    <t>Arntz, WE; Lovrich, GA; Thatje, S</t>
  </si>
  <si>
    <t>The Magellan-Antarctic connection: Links and frontiers at high southern latitudes. Foreword</t>
  </si>
  <si>
    <t>SCIENTIA MARINA</t>
  </si>
  <si>
    <t>Alfred Wegener Inst Polar &amp; Marine Res, Bremerhaven, Germany; Ctr Austral Invest Cientificas &amp; Tecn, Ushuaia, Argentina</t>
  </si>
  <si>
    <t>Arntz, WE (corresponding author), Alfred Wegener Inst Polar &amp; Marine Res, Bremerhaven, Germany.</t>
  </si>
  <si>
    <t>INST CIENCIAS MAR BARCELONA</t>
  </si>
  <si>
    <t>BARCELONA</t>
  </si>
  <si>
    <t>PG MARITIM DE LA BARCELONETA, 37-49, 08003 BARCELONA, SPAIN</t>
  </si>
  <si>
    <t>0214-8358</t>
  </si>
  <si>
    <t>SCI MAR</t>
  </si>
  <si>
    <t>Sci. Mar.</t>
  </si>
  <si>
    <t>10.3989/scimar.2005.69s23</t>
  </si>
  <si>
    <t>003JT</t>
  </si>
  <si>
    <t>gold</t>
  </si>
  <si>
    <t>WOS:000234678700001</t>
  </si>
  <si>
    <t>Glorioso, PD; Piola, AR; Leben, RR</t>
  </si>
  <si>
    <t>Mesoscale eddies in the Subantarctic Front - Southwest Atlantic</t>
  </si>
  <si>
    <t>IBMANT/ANDEEP International Symposium and Workshop</t>
  </si>
  <si>
    <t>Ushuaia, ARGENTINA</t>
  </si>
  <si>
    <t>southwest Atlantic; mesoscale; eddies; transport; Falkland-Malvinas Current</t>
  </si>
  <si>
    <t>GULF-OF-MEXICO; ART. NO. 3162; CIRCUMPOLAR CURRENT; OCEAN VARIABILITY; DRAKE PASSAGE; TRANSPORT; CURRENTS; GEORGIA; WATERS</t>
  </si>
  <si>
    <t>Satellite and ship observations in the southern southwest Atlantic (SSWA) reveal an intense eddy field and highlight the potential for using continuous real-time satellite altimetry to detect and monitor mesoscale phenomena with a view to understanding the regional circulation. The examples presented suggest that mesoscale eddies are a dominant feature of the circulation and play a fundamental role in the transport of properties along and across the Antarctic Circumpolar Current (ACC). The main ocean current in the SSWA, the Falkland-Malvinas Current (FMC), exhibits numerous embedded eddies south of 50 degrees S which may contribute to the patchiness, transport and mixing of passive scalars by this strong, turbulent current. Large eddies associated with meanders are observed in the ACC fronts some of them remaining stationary for long periods. Two particular cases are examined using a satellite altimeter in combination with in situ observations, suggesting that cross-frontal eddy transport and strong meandering occur where the ACC flow intensifies along the sub-Antarctic Front (SAF) and the Southern ACC Front (SACCF).</t>
  </si>
  <si>
    <t>Univ Buenos Aires, Dept Oceanog, Serv Hidrog Naval, Buenos Aires, DF, Argentina; Univ Buenos Aires, Dept Cs Atmosfera &amp; Ocean, Buenos Aires, DF, Argentina; Univ Colorado, Colorado Ctr Astrodynam Res, Boulder, CO 80309 USA</t>
  </si>
  <si>
    <t>University of Buenos Aires; Servicio de Hidrografia Naval; University of Buenos Aires; University of Colorado System; University of Colorado Boulder</t>
  </si>
  <si>
    <t>Av Mila Reial 113 D4,Torre Conill, Valencia 46117, Spain.</t>
  </si>
  <si>
    <t>pablo@g3golf.com</t>
  </si>
  <si>
    <t>Leben, Robert R/F-3792-2010; Piola, Alberto/HZI-5475-2023; Piola, Alberto/O-2280-2013</t>
  </si>
  <si>
    <t>Leben, Robert/0000-0003-1067-9515; Piola, Alberto/0000-0002-5003-8926</t>
  </si>
  <si>
    <t>CONSEJO SUPERIOR INVESTIGACIONES CIENTIFICAS-CSIC</t>
  </si>
  <si>
    <t>VITRUVIO 8, 28006 MADRID, SPAIN</t>
  </si>
  <si>
    <t>1886-8134</t>
  </si>
  <si>
    <t>10.3989/scimar.2005.69s27</t>
  </si>
  <si>
    <t>WOS:000234678700002</t>
  </si>
  <si>
    <t>Boltovskoy, D; Correa, N; Boltovskoy, A</t>
  </si>
  <si>
    <t>Diversity and endemism in cold waters of the South Atlantic: contrasting patterns in the plankton and the benthos</t>
  </si>
  <si>
    <t>biodiversity; biogeography; zooplankton; benthos; Antarctic; Subantarctic</t>
  </si>
  <si>
    <t>CRYPTIC SPECIATION; COPEPOD; BIOGEOGRAPHY; CRUSTACEA</t>
  </si>
  <si>
    <t>In total, ca. 7000 zooplanktonic species have been described for the World Ocean. This figure represents less than 4% of the total number of known marine organisms. Of the 7000 zooplanktonic species world-wide, some 60% are present in the South Atlantic; about one third of the latter have been recorded in its Subantarctic waters, and ca. 20% south of the Polar Front. When compared with those of benthic animals, these figures indicate that proportions of the overall inventories that are present in the cold waters are almost two times higher among the zooplankton. In agreement with this pattern, the proportions of Antarctic endemics in the benthos are very significantly higher than those in the plankton. For the water-column dwelling animals, the Polar Front boundary is more important than the Tropical-Subtropical limit, but almost equivalent to the Subtropical-Transitional limit, and weaker in biogeographic terms than the Transitional-Subantarctic boundary. Some of the implications of these dissimilarities, both for ecological theory and for resource allocation strategies, are discussed.</t>
  </si>
  <si>
    <t>Univ Buenos Aires, Dept Ecol Genet &amp; Evoluc, Fac Ciencias Exactas &amp; Nat, RA-1428 Buenos Aires, DF, Argentina; Museo Argentino Ciencias Nat Bernardino Rivadavia, RA-1405 Buenos Aires, DF, Argentina; Consejo Nacl Invest Cient &amp; Tecn, Buenos Aires, DF, Argentina; Serv Hidrog Naval, RA-1271 Buenos Aires, DF, Argentina; Natl Univ La Plata, Fac Ciencias Nat &amp; Museo, RA-1900 La Plata, Argentina</t>
  </si>
  <si>
    <t>University of Buenos Aires; Museo Argentino de Ciencias Naturales Bernardino Rivadavia (MACN); Consejo Nacional de Investigaciones Cientificas y Tecnicas (CONICET); Servicio de Hidrografia Naval; National University of La Plata; Museo La Plata</t>
  </si>
  <si>
    <t>Boltovskoy, D (corresponding author), Univ Buenos Aires, Dept Ecol Genet &amp; Evoluc, Fac Ciencias Exactas &amp; Nat, RA-1428 Buenos Aires, DF, Argentina.</t>
  </si>
  <si>
    <t>demetrio@bg.fcen.uba.ar</t>
  </si>
  <si>
    <t>Boltovskoy, Demetrio/ITA-5729-2023</t>
  </si>
  <si>
    <t>Boltovskoy, Demetrio/0000-0003-3484-2954; Correa, Nancy/0000-0001-7769-0239</t>
  </si>
  <si>
    <t>10.3989/scimar.2005.69s217</t>
  </si>
  <si>
    <t>WOS:000234678700003</t>
  </si>
  <si>
    <t>Fernández-Severini, MD; Hoffmeyer, MS</t>
  </si>
  <si>
    <t>Mesozooplankton assemblages in two bays in the Beagle Channel (Argentina) during January 2001</t>
  </si>
  <si>
    <t>mesozooplankton; copepods; Beagle Channel; assemblage; Oithona; Oncaea; Ctenocalanus; Antarctic</t>
  </si>
  <si>
    <t>CRUSTACEA; COPEPODA; ZOOPLANKTON; COMMUNITIES; STRAITS; LARVAE; ABUNDANCE; DECAPODA; PLANKTON; OITHONA</t>
  </si>
  <si>
    <t>This paper describes the composition and abundance of mesozooplankton of Bahia Ushuaia and Bahia Golondrina. These small bays are located in the northern Beagle Channel. Sampling was carried out from January 20 to 23, 2001 and samples were collected from the upper layer at nine stations. This study is the first research on mesozooplankton in this part of the Beagle Channel. Due to their dominance in the mesozooplankton community, we compared our Copepoda data with those reported by other authors from Antarctic coastal environments. By applying cluster analysis, we found two station groups in both bays: one in slightly polluted zones and the other in undisturbed external zones. Four assemblages in Bahia Ushuaia and two in Bahia Golondrina were determined by using non-metric multidimensional scaling (MDS) and cluster analysis. Mesozooplanktonic assemblages showed a certain resemblance in zones with and without anthropogenic influence. Most of the copepod species in our samples are typical of the sub-Antarctic region. Oithona similis (=O. helgolandica sensu Ramirez, 1966), Oncaea curvata, and Ctenocalanus citer show either similar or higher abundances at Antarctic coastal sites, including the upper layer in oceanic areas, in comparison with sub-Antarctic coastal localities. This suggests that, in agreement with other findings, the Polar Front is probably not a major geographic boundary for the distribution of these species.</t>
  </si>
  <si>
    <t>UNS, CONICET, Inst Argentino Oceanog, RA-8000 Bahia Blanca, Argentina</t>
  </si>
  <si>
    <t>Consejo Nacional de Investigaciones Cientificas y Tecnicas (CONICET); National University of the South</t>
  </si>
  <si>
    <t>UNS, CONICET, Inst Argentino Oceanog, RA-8000 Bahia Blanca, Argentina.</t>
  </si>
  <si>
    <t>melisafs@criba.edu.ar</t>
  </si>
  <si>
    <t>10.3989/scimar.2005.69s227</t>
  </si>
  <si>
    <t>gold, Green Submitted, Green Published</t>
  </si>
  <si>
    <t>WOS:000234678700004</t>
  </si>
  <si>
    <t>Schnack-Schiel, SB; Isla, E</t>
  </si>
  <si>
    <t>The role of zooplankton in the pelagic-benthic coupling of the Southern Ocean</t>
  </si>
  <si>
    <t>particle flux; faecal pellets; vertical migration; meroplankton; pelagic-benthic coupling</t>
  </si>
  <si>
    <t>TERRA-NOVA BAY; WESTERN BRANSFIELD STRAIT; PARTICULATE MATTER FLUXES; DOWNWARD PARTICLE FLUXES; DIEL VERTICAL MIGRATION; FECAL PELLET SIZE; ROSS-SEA; WEDDELL SEA; ANTARCTIC PENINSULA; ORGANIC-MATTER</t>
  </si>
  <si>
    <t>Zooplankton contributes in different ways to pelagic-benthic coupling: Their faecal material is a major route of energy flow and the vertical migrations of many species as well as the production of pelagic larvae by benthic organisms represent different paths to link the two subsystems. Antarctic particle fluxes have been shown to be highly variable in size and composition within a given region and even at the same site from year to year. There are also differences throughout the water column, where particle fluxes close to the sea floor beyond the continental shelf break do not normally show seasonal variation within shallow environments. Commonly, at depths shallower than 500 m, the most evident feature is that more than 90% of the annual fluxes occur during a short period of the spring-summer. This event is masked near the seabed at greater depths due to resupension and lateral advection of particles. Faecal material of various origins is one of the main constituents of the biogenic matter flux. It usually reaches its maximum in February once the early phytoplankton bloom has developed. However, the presence of faecal pellets is ubiquitous during the months of the year when there is enough light to support primary production. At this stage more research is needed to elucidate the particular role of distinct taxa-including among others salps, krill, copepods and protozoans-in the transport of organic matter to the benthos, and their contribution to the biogeochemical cycles of carbon, nitrogen, phosphorus and silicon. Aggregation of particles is another important process controlling the development and dynamics of pelagic-benthic coupling due to its influence on the sinking velocity of particles and the enhancement of organic matter utilisation by members of the microbial loop in the upper layers of the water column. Also in shallow waters, aggregation favours the transfer of high-quality organic matter to the benthic realm. At greater depths resuspended aggregates and single particles from shallow environments may constitute a considerable fraction of the fresh biogenic flux. Submarine canyons accelerate and cause more efficient transfer of energy to the deep-sea benthos. Both faecal pellets and aggregation increase the original sinking velocity of individual particles and reduce their residence time in the water column, thus creating rich organic mats over the seabed in shallow environments. In the Southern Ocean these rapid organic matter transfers are important since they allow the accumulation of highly nutritive material, which may fuel the benthos during the dark months due to constant resuspension by tidal currents. Several factors control the particle fluxes in the Southern Ocean, such as size and composition of phytoplankton blooms, currents, seasonality, depth, and ice coverage. Due to this complexity, despite many efforts there is still a long way to go before the pathway of this ecologically important link can be fully understood and described. Our knowledge of the pelagic-benthic coupling in the Magellan region is still extremely limited and offers many opportunities for future scientific research. The same holds true for the production of meroplanktonic larvae in the Southern Ocean.</t>
  </si>
  <si>
    <t>Alfred Wegener Inst Polar &amp; Marine Res, D-27515 Bremerhaven, Germany; Inst Ciencias Mar, Barcelona 08015, Spain</t>
  </si>
  <si>
    <t>Alfred Wegener Inst Polar &amp; Marine Res, D-27515 Bremerhaven, Germany.</t>
  </si>
  <si>
    <t>sschiel@awi-bremerhaven.de</t>
  </si>
  <si>
    <t>Isla, Enrique/0000-0003-4959-6936</t>
  </si>
  <si>
    <t>10.3989/scimar.2005.69s239</t>
  </si>
  <si>
    <t>WOS:000234678700005</t>
  </si>
  <si>
    <t>Berkman, PA; Cattaneo-Vietti, R; Chiantore, M; Howard-Williams, C; Cummings, V; Kvitek, R</t>
  </si>
  <si>
    <t>Marine research in the Latitudinal Gradient Project along Victoria Land, Antarctica</t>
  </si>
  <si>
    <t>Latitudinal Gradient Project; Victoria Land; Antarctic; global climate change; interdisciplinary cooperation</t>
  </si>
  <si>
    <t>ROSS SEA; BENTHIC COMMUNITIES; ICE</t>
  </si>
  <si>
    <t>This paper describes the conceptual framework of the Latitudinal Gradient Project that is being implemented by the New Zealand, Italian and United States Antarctic programmes along Victoria Land, Antarctica, from 72 degrees S to 86 degrees S. The purpose of this interdisciplinary research project is to assess the dynamics and coupling of marine and terrestrial ecosystems in relation to global climate variability. Preliminary data about the research cruises from the R/V Italica and R/V Tangaroa along the Victoria Land Coast in 2004 are presented. As a global climate barometer, this research along Victoria Land provides a unique framework for assessing latitudinal shifts in 'sentinel' environmental transition zones, where climate changes have an amplified impact on the phases of water.</t>
  </si>
  <si>
    <t>Univ Calif Santa Barbara, Bren Sch Environm Sci &amp; Management, Santa Barbara, CA 93106 USA; Univ Genoa, DIPTERIS, I-16132 Genoa, Italy; Natl Inst Water &amp; Atmospher Res, Christchurch, New Zealand; Calif State Univ Monterey Bay, Earth Syst Sci &amp; Policy, Seaside, CA 93955 USA</t>
  </si>
  <si>
    <t>University of California System; University of California Santa Barbara; University of Genoa; National Institute of Water &amp; Atmospheric Research (NIWA) - New Zealand; California State University System; California State University Monterey Bay</t>
  </si>
  <si>
    <t>Univ Calif Santa Barbara, Bren Sch Environm Sci &amp; Management, Santa Barbara, CA 93106 USA.</t>
  </si>
  <si>
    <t>berkman@bren.ucsb.edu</t>
  </si>
  <si>
    <t>Chiantore, Mariachiara/C-7070-2017</t>
  </si>
  <si>
    <t>Chiantore, Mariachiara/0000-0002-5862-1470; Howard-Williams, Clive/0000-0002-8323-6806; Cummings, Vonda/0000-0003-1076-3995</t>
  </si>
  <si>
    <t>10.3989/scimar.2005.69s257</t>
  </si>
  <si>
    <t>WOS:000234678700006</t>
  </si>
  <si>
    <t>Changing chain: past, present and future of the Scotia Arc's and Antarctica's shallow benthic communities</t>
  </si>
  <si>
    <t>polar benthos; zonation; metabolism; suspension-feeding; growth; reproduction</t>
  </si>
  <si>
    <t>KING-GEORGE-ISLAND; SOUTH SHETLAND ISLANDS; TEMPERATURE-DEPENDENT BIOGEOGRAPHY; ASCIDIAN CNEMIDOCARPA-VERRUCOSA; BIVALVE LATERNULA ELLIPTICA; POTTER COVE; POPULATION-DYNAMICS; SIGNY ISLAND; LATITUDINAL VARIATION; DIVERSITY GRADIENTS</t>
  </si>
  <si>
    <t>The Scotia Arc links Patagonia to the Antarctic Peninsula. This island chain has changed considerably since Antarctica's geographic and thermal isolation from other land and water masses. Now its rates of air, land and fresh-water climate change are among the highest measured. This review examines work on the shallow water benthos of this region in the context of climate change. In summer, primary productivity is as intense as anywhere, whilst in winter the water reaches unprecedented clarity. Suspension feeders may eat for just a few months but others feed all year. Growth and reproduction are up to 50x slower than non-polar rates. Life here is in the slow lane. There is intense summer disturbance from ice-scour and wave action. This has erased shore zonation and created it below the surface. In contrast to summer disturbance, the winter is among the calmest and most thermally stable environments, when the area is overlain by fast ice. Whilst few animal phyla or species are represented on land, phyletic richness-and in some groups species richness-rivals that of tropical regions. Data showing clines in benthic richness at several taxonomic levels across the Patagonia-South Georgia-Signy Is.-Adelaide Is. chain and 50 years of ice-sheet retreat are presented.</t>
  </si>
  <si>
    <t>10.3989/scimar.2005.69s265</t>
  </si>
  <si>
    <t>Green Accepted, gold, Green Submitted</t>
  </si>
  <si>
    <t>WOS:000234678700007</t>
  </si>
  <si>
    <t>Häussermann, V; Försterra, G</t>
  </si>
  <si>
    <t>Distribution patterns of Chilean shallow-water sea anemones (Cnidaria: Anthozoa: Actiniaria, Corallimorpharia), with a discussion of the taxonomic and zoogeographic relationships between the actinofauna of the South East Pacific, the South West Atlantic and the Antarctic</t>
  </si>
  <si>
    <t>Actiniaria; Corallimorpharia; species list; zoogeography; distribution; benthos; Chile; Argentina</t>
  </si>
  <si>
    <t>SOUTHEASTERN PACIFIC; BIOGEOGRAPHY; MAGELLAN; GUIDELINES; DIVERSITY; FEATURES; OCEAN</t>
  </si>
  <si>
    <t>The first complete zoogeographical analysis of Chilean shallow water sea anemones (Actiniaria and Corallimorpharia) and their taxonomic relations with neighbouring faunas is provided, based on extensive recent sampling in combination with a literature review. Between 1994 and 2004, we collected more than 1000 specimens of 32 distinct species of Actiniaria and Corallimorpharia at more than 100 sites along the Chilean coast between Arica (18 degrees 30'S; 70 degrees 19'W) and the Straits of Magellan (53 degrees 36'S 70 degrees 56'W). Sampling was done in the intertidal during low tides and in the subtidal by means of SCUBA diving down to depths of 40 m. The northern part of the Chilean fjord region showed the highest number of species (23). Our results contradict an abrupt general change in the marine faunal composition at 42 degrees S, instead showing the continuation of species of the exposed coast and the joining of fjord species due to the availability of additional habitats in the richly structured fjord region south of 42 degrees S, and also to eurybathy. The southern distribution limits of the species we found in northern and central Chile show only one significant concentration around the Peninsula Taitao (approx. 48 degrees S). This either indicates a zoogeographic barrier for shallow water species at the Peninsula Taitao, or is a sampling artifact caused by poor data from the region between the Peninsula Taitao and the Straits of Magellan. According to the literature, 18 of the 63 described Chilean sea anemones (Pacific Ocean) can also be found in Argentina (Atlantic Ocean) and 13 in the Antarctic. However, many records and statuses of the common species of the South East Pacific and the South West Atlantic/Antarctic are uncertain or doubtful and need revision or confirmation.</t>
  </si>
  <si>
    <t>Univ Munich, Dept Biol 2, D-80333 Munich, Germany; Zool Staatssammlung Munchen, D-81247 Munich, Germany</t>
  </si>
  <si>
    <t>University of Munich</t>
  </si>
  <si>
    <t>Univ Munich, Dept Biol 2, Karlstr 23-25, D-80333 Munich, Germany.</t>
  </si>
  <si>
    <t>vreni_haeussermann@yahoo.de</t>
  </si>
  <si>
    <t>Haussermann, Verena Susanne/0000-0001-9630-7477</t>
  </si>
  <si>
    <t>WOS:000234678700008</t>
  </si>
  <si>
    <t>Moyano, HI</t>
  </si>
  <si>
    <t>Scotia Arc bryozoans from the LAMPOS expedition: a narrow bridge between two different faunas</t>
  </si>
  <si>
    <t>Scotia Arc; bryozoans; zoogeography</t>
  </si>
  <si>
    <t>BIOGEOGRAPHY</t>
  </si>
  <si>
    <t>The 78 bryozoan species collected by the German R/V Polarstern during the LAMPOS cruise in April 2002, encompassing the Scotia Arc archipelagos between Tierra del Fuego and the Antarctic Peninsula, were studied to discern the biogeographical patterns of the Magellan region of South America, the Scotia Arc archipelagos and the Antarctic. The resulting dendrogram, shows three clusters: an isolated one with the three easternmost archipelagos and the other two linking some of the northern and southern Scotia Arc archipelagos with Tierra del Fuego. A more comprehensive analysis using all the species previously recorded from the Scotia Arc archipelagos and adjacent areas (214 spp.) produced a clearer zoogeographical pattern without isolated clusters of localities. The Antarctic Peninsula plus the Scotia Arc archipelagos form a large cluster distinct from the Magellan-Falkland Subantarctic area. A third analysis making use of 78 genera present in the study area plus Australia and New Zealand reinforces this pattern, showing two clusters: one uniting South America and the Australian-New Zealand realm and the other linking the Scotia Arc archipelagos with the Antarctic Peninsula. These results indicate that the Scotia Arc archipelagos represent merely a very narrow bridge connecting two different bryozoan faunas with only a few bryozoan species in common between the study areas.</t>
  </si>
  <si>
    <t>Univ Concepcion, Dept Zool, Concepcion, Chile</t>
  </si>
  <si>
    <t>Universidad de Concepcion</t>
  </si>
  <si>
    <t>Moyano, HI (corresponding author), Univ Concepcion, Dept Zool, Casilla 160-C, Concepcion, Chile.</t>
  </si>
  <si>
    <t>hmoyano@udec.cl</t>
  </si>
  <si>
    <t>10.3989/scimar.2005.69s2103</t>
  </si>
  <si>
    <t>WOS:000234678700009</t>
  </si>
  <si>
    <t>Zelaya, DG</t>
  </si>
  <si>
    <t>The bivalves from the Scotia Arc islands: species richness and faunistic affinities</t>
  </si>
  <si>
    <t>diversity; biogeography; molluscs; Bivalvia; Scotia Sea; Antarctic</t>
  </si>
  <si>
    <t>ADJACENT REGIONS; SOUTH ATLANTIC; ANTARCTICA; MOLLUSCA; OCEAN; BIOGEOGRAPHY; REPRODUCTION; AMERICA; SEA</t>
  </si>
  <si>
    <t>Species richness of the shallow-water bivalves from the Scotia Are islands was studied on the basis of new collections and by reviewing extant information. Seventy-three species are recognised from the entire area. South Georgia, the South Orkney Islands and the South Shetland Islands were similar in species richness to the Antarctic Weddell sector. New records for 51 bivalve species are provided and the presence of 18 undescribed species is reported. The faunistic similarity of the islands of the Scotia Arc to the Magellan region and the Antarctic Weddell sector is re-examined. These islands show a high similarity to the Antarctic Weddell sector (49 to 85%) and a low similarity to the Magellan region (12 to 32%). Evidence from bivalves clearly supports the placement of the Scotia Arc islands within the Antarctic region.</t>
  </si>
  <si>
    <t>Museo La Plata, Div Invertebrate Zool, RA-1900 La Plata, Argentina</t>
  </si>
  <si>
    <t>National University of La Plata; Museo La Plata</t>
  </si>
  <si>
    <t>Zelaya, DG (corresponding author), Museo La Plata, Div Invertebrate Zool, Paseo Bos S-N, RA-1900 La Plata, Argentina.</t>
  </si>
  <si>
    <t>dzelaya@museo.fcnym.unlp.edu.ar</t>
  </si>
  <si>
    <t>10.3989/scimar.2005.69s2113</t>
  </si>
  <si>
    <t>Green Published, gold, Green Submitted</t>
  </si>
  <si>
    <t>WOS:000234678700010</t>
  </si>
  <si>
    <t>Montiel, A; Gerdes, D; Arntz, WE</t>
  </si>
  <si>
    <t>Distributional patterns of shallow-water polychaetes in the Magellan region: a zoogeographical and ecological synopsis</t>
  </si>
  <si>
    <t>polychaete zoogeography; Antarctic affinities; species composition; Magellan region</t>
  </si>
  <si>
    <t>ITALIAN OCEANOGRAPHIC CRUISE; BENTHIC MACROINVERTEBRATES; LAST GLACIATION; STRAIT; BIOGEOGRAPHY; ANNELIDA; AMERICA; LARVAE; CHILE; FAUNA</t>
  </si>
  <si>
    <t>The zoogeography of polychaete annelids was described for the Magellan region. This work considered information available from 19 expeditions carried out in the last 124 years of polychaete taxonomic research around the southernmost tip of the South American continental shelf. The polychaete fauna of the Magellan region comprised a total of 431 species belonging to 108 genera and 41 families. MDS and ANOSIM analyses showed the Magellan region to be divided into two subregions, one on the Pacific side of the tip of South America and one on the Atlantic side. These subregions showed a low percentage of endemic species (&lt; 10%) whereas &gt; 70% of the species recorded for the whole Magellan region showed a wide distribution range, and there were especially high affinities with Antarctic and Subantarctic areas. We suggest that the opening of the Straits of Magellan created a new pathway for enhanced exchange of faunal elements between the Pacific and the Atlantic. Transport of larvae via easterly directed currents of the West Wind Drift plays an important role in current distribution patterns of polychaete fauna around the tip of South America.</t>
  </si>
  <si>
    <t>Alfred Wegener Inst Polar &amp; Marine Res, D-27568 Bremerhaven, Germany; CEQUA, Punta Arenas, Chile</t>
  </si>
  <si>
    <t>Alfred Wegener Inst Polar &amp; Marine Res, Columbusstr, D-27568 Bremerhaven, Germany.</t>
  </si>
  <si>
    <t>amontiel@awi-bremerhaven.de</t>
  </si>
  <si>
    <t>Montiel, Americo/0000-0002-2644-4879</t>
  </si>
  <si>
    <t>10.3989/scimar.2005.69s2123</t>
  </si>
  <si>
    <t>WOS:000234678700011</t>
  </si>
  <si>
    <t>Veit-Köhler, G</t>
  </si>
  <si>
    <t>Influence of biotic and abiotic sediment factors on abundance and biomass of harpacticoid copepods in a shallow Antarctic bay</t>
  </si>
  <si>
    <t>meiofauna; Copepoda; size classes; biovolume; Pseudotachidius jubanyensis; Scottopsyllus (S.) praecipuus; King George Island; Antarctic</t>
  </si>
  <si>
    <t>CANONICAL CORRESPONDENCE-ANALYSIS; BENTHIC COMMUNITIES; SIZE DISTRIBUTIONS; MEIOFAUNA; ENVIRONMENT; DIVERSITY; IMPACT</t>
  </si>
  <si>
    <t>This study presents data of the first investigation on benthic harpacticoid copepods in Potter Cove, King George Island, Antarctica (62 degrees 14'S, 58 degrees 40'W) with special emphasis on spatial distribution and relation to environmental factors. In addition to the individual numbers that are normally given, the biovolume of the meiobenthic copepods was measured. It showed great variety due to changes in abundance and habitat preferences of the different species along the two studied transects in the inner cove and at the cove entrance. The distribution of the two species Pseudotachidius jubanyensis and Scottopsyllus (S.) praecipuus was studied in detail; their body volumes are given for developmental stages and adults, and their importance for the total biovolume at the different stations is discussed. Statistical analyses (Spearman rank, canonical correspondence analysis) indicate that the biovolume of harpacticoid copepods was related more to total organic matter than to the carbon:nitrogen ratio and chloroplastic equivalents or even grain size and depth. While P. jubanyensis was strongly connected to depth and to a lesser extent to small grain sizes, S. (S.) praecipuus showed a preference for sites with low chloroplastic equivalent values, but neither of them was related to total organic matter.</t>
  </si>
  <si>
    <t>Carl Ossietzky Univ, Inst Biol &amp; Umweltwissensch, AG Zoosyst &amp; Morphol, Fak 5, D-26111 Oldenburg, Germany</t>
  </si>
  <si>
    <t>Carl von Ossietzky Universitat Oldenburg</t>
  </si>
  <si>
    <t>Veit-Köhler, G (corresponding author), DZMB Deut Zentrum Marine Biodiversitatsfors, Forsch Inst Senckenberg, Sudstrand 44, D-26382 Wilhelmshaven, Germany.</t>
  </si>
  <si>
    <t>gveit-koehler@senckenberg.de</t>
  </si>
  <si>
    <t>10.3989/scimar.2005.69s2135</t>
  </si>
  <si>
    <t>WOS:000234678700012</t>
  </si>
  <si>
    <t>Doti, BL; Roccatagliata, D; Zelaya, DG</t>
  </si>
  <si>
    <t>The shallow-water Asellota (Crustacea: Isopoda) from the Beagle Channel:: Preliminary taxonomic and zoogeographical resudts</t>
  </si>
  <si>
    <t>Asellota; Isopoda; diversity; Beagle Channel; Magellan region</t>
  </si>
  <si>
    <t>MALACOSTRACA; DIVERSITY; SEA; MAGELLAN</t>
  </si>
  <si>
    <t>The shallow-water Asellota from the Beagle Channel were investigated, based on material collected at four localities in 2001-2002. A total of 3,124 asellotes were sorted, and three new species and 12 new records of distribution were reported. The Paramunnidae showed the highest species diversity and abundance (I I species and 1,463 specimens). The present research raises the number of species known from the Beagle Channel to 23; of these, 16 were previously reported from the Magellan Straits, representing 69% of similarity. Based on the present results and published data, the faunistic affinities for the shallow-water Asellota was 30% between the Magellan region and the Scotia Arc, and 26% between the Magellan region and the Antarctic Peninsula.</t>
  </si>
  <si>
    <t>Univ Buenos Aires, Fac Ciencias Exactas &amp; Nat, Dept Biodiv &amp; Biol Expt, RA-1428 Buenos Aires, DF, Argentina; Museo La Plata, RA-1900 La Plata, Argentina</t>
  </si>
  <si>
    <t>University of Buenos Aires</t>
  </si>
  <si>
    <t>Doti, BL (corresponding author), Univ Buenos Aires, Fac Ciencias Exactas &amp; Nat, Dept Biodiv &amp; Biol Expt, RA-1428 Buenos Aires, DF, Argentina.</t>
  </si>
  <si>
    <t>bdoti@bg.fcen.uba.ar</t>
  </si>
  <si>
    <t>WOS:000234678700014</t>
  </si>
  <si>
    <t>Held, C; Wägele, JW</t>
  </si>
  <si>
    <t>Cryptic speciation in the giant Antarctic isopod Glyptonotus antarcticus (Isopoda: Valvifera: Chaetiliidae)</t>
  </si>
  <si>
    <t>sibling species; molecular systematics; biogeography; Antarctic benthos</t>
  </si>
  <si>
    <t>CRUSTACEA; SEQUENCE</t>
  </si>
  <si>
    <t>The genus Glyptonotus is most commonly regarded as monospecific, with Glyptonotus antarcticus Eights 1852 being its only constituent. Two more forms (G. acutus, G. antarcticus var. obtusus) that had been described based on morphological evidence have received little attention in the literature, though no formal attempt to evaluate their taxonomic status has been undertaken. In a survey of within-species genetic diversity, 23 specimens of the benthic Antarctic isopod Glyptonotus antarcticus from three sampling areas around the Antarctic had a high genetic variability in their mitochondrial LSU (16S) gene. Eleven unique mitochondrial haplotypes were found, two at the Antarctic Peninsula (AP), two in the Ross Sea (RS) and seven in the Eastern Weddell Sea (EWS). Average haplotype variation within sampling areas (AP, RS, EWS) was one order of magnitude less than between sampling areas. In the EWS, however, two highly differentiated haplotypes co-exist. These four groups of haplotypes may represent cryptic, but reproductively isolated species rather than a single species.</t>
  </si>
  <si>
    <t>Ruhr Univ Bochum, Lehrstuhl Spezielle Zool, D-44780 Bochum, Germany; Alfred Wegener Inst, D-27515 Bremerhaven, Germany; Museum Koenig, D-53113 Bonn, Germany</t>
  </si>
  <si>
    <t>Ruhr University Bochum; Helmholtz Association; Alfred Wegener Institute, Helmholtz Centre for Polar &amp; Marine Research; Zoologisches Forschungsmuseum Alexander Koenig (ZFMK)</t>
  </si>
  <si>
    <t>Ruhr Univ Bochum, Lehrstuhl Spezielle Zool, D-44780 Bochum, Germany.</t>
  </si>
  <si>
    <t>cheld@awi-bremerhaven.de</t>
  </si>
  <si>
    <t>Held, Christoph/0000-0001-8854-3234</t>
  </si>
  <si>
    <t>10.3989/scimar.2005.69s2175</t>
  </si>
  <si>
    <t>WOS:000234678700016</t>
  </si>
  <si>
    <t>Lovrich, GA; Romero, MC; Tapella, F; Thatje, S</t>
  </si>
  <si>
    <t>Distribution, reproductive and energetic conditions of decapod crustaceans along the Scotia Arc (Southern Ocean)</t>
  </si>
  <si>
    <t>biogeography; Antarctic; Munida; Notocrangon; Campylonotus; Nematocarcinus</t>
  </si>
  <si>
    <t>FATTY-ACID; LIPID-COMPOSITION; BEAGLE CHANNEL; COLD-WATER; CRAB; HEPATOPANCREAS; ECOLOGY; ANOMURA; BIOMASS; VOLUME</t>
  </si>
  <si>
    <t>Studies on decapod distribution patterns and reproductive and energetic conditions were carried out along the islands and shallows of the Scotia Arc (Southern Ocean) during the RV Polarstern LAMPOS expedition (ANT XIX/5) between April and May 2002. A clear biogeographic zonation was found. The Subantarctic Magellan-South Atlantic decapod fauna consisting of both natant (caridean) and reptant (astacidean, anomuran, and brachyuran) decapods appeared along the northern branch of the Scotia Arc to South Georgia, where Subantarctic and Antarctic faunas were found overlapping. An impoverished caridean shrimp fauna was found along the islands of the southern branch, from the South Sandwich Islands to the Antarctic Peninsula. Differences in the reproductive traits of the two most abundant species were detected. The reproductive cycle of Notocrangon antarcticus at South Georgia was more advanced than that at the South Orkney Islands, probably due to temperature differences between the two locations. Although the oogenesis and the reproductive cycle of Munida subrugosa seem to be in phase at Burdwood Bank and in the Beagle Channel, the oocyte number is probably lower at the former location. A new index was used to measure the energy devoted to reproduction by relating the energy contents of the egg mass/ovary plus hepatopancreas and the energy content of the whole body. This index revealed that the energy investment in reproduction was (1) independent of the sampling location, (2) species-specific, and (3) larger in caridean shrimps than in galatheid crabs.</t>
  </si>
  <si>
    <t>Consejo Nacl Invest Cient &amp; Tecn, CADIC, RA-9410 Ushuaia, Argentina; Univ Southampton, Sch Ocean &amp; Earth Sci, Natl Oceanog Ctr, Southampton SO14 3ZH, Hants, England</t>
  </si>
  <si>
    <t>Consejo Nacional de Investigaciones Cientificas y Tecnicas (CONICET); NERC National Oceanography Centre; University of Southampton</t>
  </si>
  <si>
    <t>Consejo Nacl Invest Cient &amp; Tecn, CADIC, CC 92, RA-9410 Ushuaia, Argentina.</t>
  </si>
  <si>
    <t>lovrich@tierradelfuego.org.ar</t>
  </si>
  <si>
    <t>Lovrich, Gustavo/0000-0001-8424-6566</t>
  </si>
  <si>
    <t>Editorial CSIC, C/VITRUVIO 8, 28006 MADRID, SPAIN</t>
  </si>
  <si>
    <t>10.3989/scimar.2005.69s2183</t>
  </si>
  <si>
    <t>gold, Green Accepted, Green Submitted</t>
  </si>
  <si>
    <t>WOS:000234678700017</t>
  </si>
  <si>
    <t>Boschi, EE; Gavio, MA</t>
  </si>
  <si>
    <t>On the distribution of decapod crustaceans from the Magellan Biogeographic Province and the Antarctic region</t>
  </si>
  <si>
    <t>decapod crustaceans; Magellan Biogeographic Province; circum-Antarctic distribution</t>
  </si>
  <si>
    <t>SOUTH-AMERICA; ECOLOGY; SEA</t>
  </si>
  <si>
    <t>The distribution of decapod crustaceans in the southernmost areas of South America and the Antarctic is assessed considering the Magellan Biogeographic Province instead of the antiboreal region. Possible associations between decapod crustaceans from the Magellan Biogeographic Province and those from the Antarctic region are analysed. Species records were assigned to seven geographic regions that were clustered using multivariate analyses based on species presence/absence and Bray-Curtis similarity. The results showed two well-established clusters, one of which included the Pacific and Atlantic areas of the Magellan Province, the southern tip of South America and the Kerguelen Arc islands, with the highest similarity between the southern tip and the Atlantic area. Another cluster was well separated and included the Antarctic and South Georgia with the highest similarity index. Earlier studies and results obtained here suggest that the faunas of southern Chile and southern Argentina are biogeographically related. There is a low level of association among decapod species from the circum-Antarctic region and the Magellan Province.</t>
  </si>
  <si>
    <t>Consejo Nacl Invest Cient &amp; Tecn, RA-7600 Mar Del Plata, Argentina; INIDEP, Inst Nacl Invest &amp; Desarrollo Pesquero, RA-7600 Mar Del Plata, Argentina; UNMdP, Dept Biol, Fac Ciencias Exactas &amp; Nat, RA-7600 Mar Del Plata, Argentina</t>
  </si>
  <si>
    <t>Consejo Nacional de Investigaciones Cientificas y Tecnicas (CONICET); National Fisheries Research &amp; Development Institute (INIDEP); National University of Mar del Plata</t>
  </si>
  <si>
    <t>Boschi, EE (corresponding author), Consejo Nacl Invest Cient &amp; Tecn, Casilla Correo 175, RA-7600 Mar Del Plata, Argentina.</t>
  </si>
  <si>
    <t>eboschi@inidep.edu.ar</t>
  </si>
  <si>
    <t>10.3989/scimar.2005.69s2195</t>
  </si>
  <si>
    <t>WOS:000234678700018</t>
  </si>
  <si>
    <t>David, B; Choné, T; Festeau, A; Mooi, R; De Ridder, C</t>
  </si>
  <si>
    <t>Biodiversity of Antarctic echinoids:: a comprehensive and interactive database</t>
  </si>
  <si>
    <t>sea urchins; Antarctic; biodiversity; database</t>
  </si>
  <si>
    <t>ECHINODERMATA; HOLASTEROIDA</t>
  </si>
  <si>
    <t>Eighty-one echinoid species are present south of the Antarctic Convergence, and they represent an important component of the benthic fauna. Antarctic echinoids is an interactive database synthesising the results of more than 100 years of Antarctic expeditions, and comprising information about all echinoid species. It includes illustrated keys for determination of the species, and information about their morphology and ecology (text, illustrations and glossary) and their distribution (maps and histograms of bathymetrical distribution); the sources of the information (bibliography, collections and expeditions) are also provided. All these data (taxonomic, morphologic, geographic, bathymetric...) can be interactively queried in two main ways: (1) display of listings that can be browsed, sorted according to various criteria, or printed; and (2) interactive requests crossing the different kinds of data. Many other possibilities are offered, and an on-line help file is also available.</t>
  </si>
  <si>
    <t>Univ Bourgogne, F-21000 Dijon, France; Calif Acad Sci, San Francisco, CA 94118 USA; Free Univ Brussels, B-1050 Brussels, Belgium</t>
  </si>
  <si>
    <t>Universite de Bourgogne; California Academy of Sciences; Universite Libre de Bruxelles</t>
  </si>
  <si>
    <t>David, B (corresponding author), Univ Bourgogne, 6 Bd Gabriel, F-21000 Dijon, France.</t>
  </si>
  <si>
    <t>bruno.david@u-bourgogne.fr</t>
  </si>
  <si>
    <t>Mooi, Rich/0000-0003-1533-8488</t>
  </si>
  <si>
    <t>10.3989/scimar.2005.69s2201</t>
  </si>
  <si>
    <t>gold, Green Published, Green Submitted</t>
  </si>
  <si>
    <t>WOS:000234678700019</t>
  </si>
  <si>
    <t>Tatiàn, M; Antacli, JC; Sahade, R</t>
  </si>
  <si>
    <t>Ascidians (Tunicata, Ascidiacea):: species distribution along the Scotia Arc</t>
  </si>
  <si>
    <t>Tunicata; Scotia Arc; Polar Front; biogeography</t>
  </si>
  <si>
    <t>INDIAN-OCEAN</t>
  </si>
  <si>
    <t>Ascidians are found in all the oceans. The Polar Front is considered a strong barrier, especially for benthic separating the Southern Ocean from other oceans. Its influence on ascidian species present at the boundary of the Magellan and Antarctic regions along the Scotia Arc and on the species composition at each station is inferred from the samples taken during the LAMPOS cruise. Ascidians were collected by Agassiz (AGT) and bottom (GSN) trawls at depths between 250 and 587 m on different types of substrate. Of 25 identified species/morphospecies one is new and eight were found in new localities, enlarging the known range of five of these species. Muddy bottoms were found to Support higher species richness than hard bottoms, and the South Georgia Islands are found to be the northern limit for Antarctic species and the southern limit for Magellan ones. Affinity between the ascidian fauna of the Magellan region and the Antarctic is slightly stronger than was previously considered; there is also a species gradient along the Scotia Arc, which can be regarded as a bridge between the two regions.</t>
  </si>
  <si>
    <t>Univ Nacl Cordoba, Fac Ciencias Exactas Fis &amp; Nat, RA-5000 Cordoba, Argentina; Consejo Nacl Invest Cient &amp; Tecn, Inst Antartico Argentino, RA-1033 Buenos Aires, DF, Argentina</t>
  </si>
  <si>
    <t>National University of Cordoba; Instituto Antartico Argentino; Consejo Nacional de Investigaciones Cientificas y Tecnicas (CONICET)</t>
  </si>
  <si>
    <t>Tatiàn, M (corresponding author), Univ Nacl Cordoba, Fac Ciencias Exactas Fis &amp; Nat, RA-5000 Cordoba, Argentina.</t>
  </si>
  <si>
    <t>mtatian@com.uncor.edu</t>
  </si>
  <si>
    <t>Tatian, Marcos/0000-0002-9092-9184; /0000-0001-6417-8834; Sahade, Ricardo/0000-0001-5650-8135</t>
  </si>
  <si>
    <t>10.3989/scimar.2005.69s2205</t>
  </si>
  <si>
    <t>WOS:000234678700020</t>
  </si>
  <si>
    <t>Ramos-Esplá, AA; Cárcel, JA; Varela, M</t>
  </si>
  <si>
    <t>Zoogeographical relationships of the littoral ascidiofauna around the Antarctic Peninsula, in the Scotia Arc and in the Magellan region</t>
  </si>
  <si>
    <t>ascidians; Antarctic; Scotia Arc; Magellan; biogeography</t>
  </si>
  <si>
    <t>SOUTH-SHETLAND-ISLANDS; KING-GEORGE-ISLAND; POTTER COVE; ASCIDIANS; COMMUNITIES; BENTHOS; SHELF; FAUNA</t>
  </si>
  <si>
    <t>Three Spanish Antarctic research cruises (Ant-8611, Bentart-94 and Bentart-95) were carried out in the South Shetland Archipelago (Antarctic Peninsula) and Scotia Arc (South Orkney, South Sandwich and South Georgia archipelagos) on the continental shelf and upper slope (10-600 m depth). They have contributed to our knowledge about ascidian distribution and the zoogeographical relationships with the neighbouring areas and the other Subantarctic islands. The distribution of ascidian species suggests that the Scotia Arc is divided into two sectors, the South Orkney Archipelago, related to the Antarctic Province, and the South Georgia Archipelago (probably including the South Sandwich Archipelago), which is intermediate between the Antarctic Province and the Magellan region.</t>
  </si>
  <si>
    <t>Univ Alicante, Dept Marine Sci &amp; Appl Biol, Marine Biol Lab, E-03080 Alicante, Spain</t>
  </si>
  <si>
    <t>Universitat d'Alacant</t>
  </si>
  <si>
    <t>Univ Alicante, Dept Marine Sci &amp; Appl Biol, Marine Biol Lab, E-03080 Alicante, Spain.</t>
  </si>
  <si>
    <t>Alfonso.Ramos@ua.es</t>
  </si>
  <si>
    <t>Ramos Espla, Alfonso/P-6885-2014</t>
  </si>
  <si>
    <t>Ramos Espla, Alfonso/0000-0002-6886-218X</t>
  </si>
  <si>
    <t>10.3989/scimar.2005.69s2215</t>
  </si>
  <si>
    <t>WOS:000234678700021</t>
  </si>
  <si>
    <t>Arntz, WE; Thatje, S; Gerdes, D; Gili, JM; Gutt, J; Jacob, U; Montiel, A; Orejas, C; Teixidó, N</t>
  </si>
  <si>
    <t>The Antarctic-Magellan connection:: macrobenthos ecology on the shelf and upper slope, a progress report</t>
  </si>
  <si>
    <t>macrobenthos; Antarctic; Magellan region; biodiversity; biogeography; ecology; evolution; disturbance</t>
  </si>
  <si>
    <t>EASTERN WEDDELL SEA; TERRA-NOVA BAY; EARLY JUVENILE DEVELOPMENT; SOUTH SHETLAND ISLANDS; MARINE BENTHIC COMMUNITIES; SEROLID ISOPODS CRUSTACEA; KING-GEORGE ISLAND; TIERRA-DEL-FUEGO; BEAGLE CHANNEL; ADAMUSSIUM-COLBECKI</t>
  </si>
  <si>
    <t>Ecological work carried out on the Antarctic and Magellan shelves since the first IBMANT conference held at the UMAG, Punta Arenas in 1997 is summarized to identify areas where progress has been made and others, where important gaps have remained in understanding past and present interaction between the Antarctic and the southern tip of South America. This information is complementary to a review on shallow-water work along the Scotia Arc (Barnes, 2005) and recent work done in the deep sea (Brandt and Hilbig, 2004). While principally referring to shipboard work in deeper water, above all during the recent international EASIZ and LAMPOS campaigns, relevant work from shore stations is also included. Six years after the first IBMANT symposium, significant progress has been made along the latitudinal gradient from the Magellan region to the high Antarctic in the fields of biodiversity, biogeography and community structure, life strategies and adaptations, the role of disturbance and its significance for biodiversity, and trophic coupling of the benthic realm with the water column and sea ice. A better understanding has developed of the role of evolutionary and ecological factors in shaping past and present-day environmental conditions, species composition and distribution, and ecosystem functioning. Furthermore, the science community engaged in unravelling Antarctic-Magellan interactions has advanced in methodological aspects such as new analytical approaches for comparing biodiversity derived from visual methods, growth and age determination, trophic modelling using stable isotope ratios, and molecular approaches for taxonomic and phylogenetic purposes. At the same time, much effort has been invested to complement the species inventory of the two adjacent regions. However, much work remains to be done to fill the numerous gaps. Some perspectives are outlined in this review, and sugestions are made where particular emphasis should be placed in future work, much of which will be developed in the frame of SCAR'S EBA (Evolution and Biodiversity in the Antarctic) programme.</t>
  </si>
  <si>
    <t>Alfred Wegener Inst Polar &amp; Marine Res, Bremerhaven, Germany; CSIC, Inst Ciencias Mar, Barcelona, Spain; Univ Magallanes, Inst Patagonia, Punta Arenas, Chile</t>
  </si>
  <si>
    <t>Helmholtz Association; Alfred Wegener Institute, Helmholtz Centre for Polar &amp; Marine Research; Consejo Superior de Investigaciones Cientificas (CSIC); CSIC - Centro Mediterraneo de Investigaciones Marinas y Ambientales (CMIMA); CSIC - Instituto de Ciencias del Mar (ICM); Universidad de Magallanes</t>
  </si>
  <si>
    <t>Alfred Wegener Inst Polar &amp; Marine Res, Bremerhaven, Germany.</t>
  </si>
  <si>
    <t>warntz@awi-bremerhaven.de</t>
  </si>
  <si>
    <t>Jacob, Ute/F-8179-2011; Orejas, Covadonga/B-1644-2012</t>
  </si>
  <si>
    <t>Montiel, Americo/0000-0002-2644-4879; Gutt, Julian/0000-0003-3773-9370; Teixido, Nuria/0000-0001-9286-2852; Orejas Saco del Valle, Covadonga/0000-0002-2580-1002</t>
  </si>
  <si>
    <t>10.3989/scimar.2005.69s2237</t>
  </si>
  <si>
    <t>WOS:000234678700023</t>
  </si>
  <si>
    <t>Pörtner, HO; Storch, D; Heilmayer, O</t>
  </si>
  <si>
    <t>Constraints and trade-offs in climate-dependent adaptation:: energy budgets and growth in a latitudinal cline</t>
  </si>
  <si>
    <t>Antarctic; energy efficiency; lifestyle; cold adaptation; growth performance; Magellan; temperature variability; eurythermy; stenothermy</t>
  </si>
  <si>
    <t>METABOLIC COLD ADAPTATION; COD GADUS-MORHUA; NOTOTHENIA CORIICEPS RICHARDSON; PROTEIN-SYNTHESIS CAPACITIES; LUGWORM ARENICOLA-MARINA; ANTARCTIC FISH; THERMAL TOLERANCE; MITOCHONDRIAL-FUNCTION; PHYSIOLOGICAL-BASIS; OXYGEN-CONSUMPTION</t>
  </si>
  <si>
    <t>Characteristics of temperature-dependent metabolic adaptation as well as their implications for associated changes in energy budgets are analysed based on comparisons of fish and invertebrates from various latitudinal clines in northern and southern hemispheres and on integrated ecological and physiological approaches. To identify putative bottlenecks of adaptation and for a general cause and effect understanding, the temperature sensitivity of growth as a key energy budget component is investigated, considering underlying processes at population, whole animal and cellular levels. Available data support the hypothesis that natural selection favours individuals for energy efficiency and maximised growth, but is subject to constraints of limited energy availability and temperature. According to emerging relationships between energy turnover, temperature variability and thermal tolerance, the notion that selection should favour a certain metabolic rate according to mean temperature is too simplistic. Within the energy budget, savings in maintenance costs set free energy for growth, visible as growth increments at a low standard metabolic rate. Such energy savings are maximised at the permanently low temperature of the Antarctic. However, some variability persists as pelagic lifestyles in the Antarctic are fuelled by higher metabolic rates at the expense of reduced growth. Temperature variability in the cold, as in the Subarctic, causes a rise in maintenance costs at the expense of growth, but in favour of exercise and thus foraging capacity. Such transitions in energy cost between sub-polar and polar areas are not visible in the southern hemisphere, where there is less temperature variability. However, these patterns-as well as many of the underlying mechanisms-still remain incompletely investigated, especially with respect to the suggested hierarchy in energy allocation to energy budget components.</t>
  </si>
  <si>
    <t>Alfred Wegener Inst Polar &amp; Marine Res, Bremerhaven, Germany</t>
  </si>
  <si>
    <t>Pörtner, Hans-O./K-9429-2016; Pörtner, Hans-O./ISU-9397-2023</t>
  </si>
  <si>
    <t>Pörtner, Hans-O./0000-0001-6535-6575; Storch, Daniela/0000-0003-3090-7554</t>
  </si>
  <si>
    <t>WOS:000234678700024</t>
  </si>
  <si>
    <t>Hernando, MP; Malanga, GF; Ferreyra, GA</t>
  </si>
  <si>
    <t>Oxidative stress and antioxidant defences generated by solar UV in a Subantarctic marine phytoflagellate</t>
  </si>
  <si>
    <t>TBARS; beta-carotene; alpha-tocopherol; growth rate; ozone; UV radiation</t>
  </si>
  <si>
    <t>ULTRAVIOLET-RADIATION; LIPID-PEROXIDATION; CHLORELLA-VULGARIS; B RADIATION; VITAMIN-E; IN-VITRO; PHYTOPLANKTON; EXPOSURE; GROWTH; LEAVES</t>
  </si>
  <si>
    <t>The reduction of the Antarctic stratospheric ozone resulted in significant increases in ultraviolet B radiation (UV-B, 280-320 nm) reaching the surface of the ocean. The main objective of this work was to study long-term (growth rate scale, days) stress responses (lipid oxidative damage, TBARS, and lipid soluble antioxidants) to UV-B and UV-A of a phytoflagellate species (Asteromonas sp.) isolated from a natural phytoplankton community of the Subantarctic Beagle Channel. The growth rate was inhibited by UV-B and UV-A radiation during the exponential phase. A marked increase in the TBARS content was observed on day 1 of the experiment, with significant differences between algae subjected to UVB and UV-A treatments, thus suggesting high damage to the cell membrane. During the second day of the experiment TBARS in UV-A treatments were higher than under photosynthetically active radiation (PAR). The concentration of TBARS decreased to the level of the PAR control on day 3, remaining low until the end of the experiment. Lipid antioxidant concentrations (alpha-tocopherol and beta-carotene) were delayed with respect to variations in TBARS, showing maximum values on day 3 of the experiment. This coincided with the minimum TBARS concentrations in all treatments. The content of both antioxidants increased significantly in cultures exposed to UV-B and UV-A on days 3 and 4. In Antarctic species (phytoflagellate Asteromonas sp., AP and diatom Thalassiosira sp., AT) alpha-tocopherol was more abundant than beta-carotene. The phytoflagellate species showed a lag in reaching the maximum content of both antioxidants in relation to AT, which reached the maximum concentration within a short time scale (3 h) suggesting a more rapid response to oxidative stress. AT was more resistant to UVR stress than the phytoflagellate species. Overall, our results show that UVR damage/repair balance involves the combined action of several internal factors in the cell.</t>
  </si>
  <si>
    <t>Consejo Nacl Invest Cient &amp; Tecn, CADIC, Ctr Austral Invest Cient, RA-9410 Ushuaia, Tierra Fuego, Argentina; Inst Antartico Argentino, RA-1010 Buenos Aires, DF, Argentina</t>
  </si>
  <si>
    <t>Consejo Nacional de Investigaciones Cientificas y Tecnicas (CONICET); Instituto Antartico Argentino</t>
  </si>
  <si>
    <t>Hernando, MP (corresponding author), Consejo Nacl Invest Cient &amp; Tecn, CADIC, Ctr Austral Invest Cient, RA-9410 Ushuaia, Tierra Fuego, Argentina.</t>
  </si>
  <si>
    <t>hernandom@ciudad.com.ar</t>
  </si>
  <si>
    <t>Ferreyra, Gustavo Adolfo/0000-0003-1953-5067</t>
  </si>
  <si>
    <t>WOS:000234678700025</t>
  </si>
  <si>
    <t>Malanga, G; Estevez, MS; Calvo, J; Abele, D; Puntarulo, S</t>
  </si>
  <si>
    <t>Oxidative stress in gills of limpets from the Beagle Channel: comparison with limpets from the Antarctic</t>
  </si>
  <si>
    <t>Antarctic region; antioxidant enzymes; ascorbyl radical; ascorbate; Subantarctic region</t>
  </si>
  <si>
    <t>LIPID-PEROXIDATION; RADICAL FORMATION; VITAMIN-E; ANTIOXIDANT; IRON; METABOLISM; MECHANISMS; TOXICITY; INVERTEBRATES; AUTOXIDATION</t>
  </si>
  <si>
    <t>The aim of this work was to study the oxidative profile of gills of two limpet species (Nacella (Patinigera) magellanica and Nacella (Patinigera) deaurata) (Gmelin, 1971) exposed to different environmental conditions. Due to the tidal characteristics of the Beagle Channel, N. magellanica are exposed to air twice daily for 3 to 5 hours each time, whereas N. deaurata are exposed to air for 3 hours only during spring tides. The different regime of exposure includes extreme temperatures under 0 degrees C during winter and more than 20 degrees C in summer for N. magellanica, whereas N. deaurata are usually covered by more than 0.3 m of water at 4 degrees C in winter and 11 degrees C in summer. No significant differences were found between the two molluscs regarding the oxygen uptake, the content of alpha-tocopherol and beta-carotene and the activities of the antioxidant enzymes catalase and superoxide dismutase. Lipid peroxidation in gills was estimated as the content of lipid radicals, assessed by electron paramagnetic resonance (EPR). Lipid radical content and total iron content were respectively 80.6 and 62% lower in N. magellanica than in N. deaurata. A typical EPR spectrum of ascorbyl radical in gills from both limpets was observed. Both the ascorbyl radical content and the ascorbyl radical content/ascorbate content ratio were significantly lower in N. magellanica than in N. deaurata. In the Antarctic Nacella concinna inhabits all levels of the littoral zone. Limpets at the highest level in the intertidal showed significantly increased activities of both catalase and superoxide dismutase as compared to their intertidal and subtidal relatives. Thus, it seems that Antarctic high intertidal conditions, involving regular exposure to air and presumably also thermal stress on sunny days during the Antarctic summer, cause a necessity for N. concinna to ward off higher oxygen radical species production by increasing its antioxidant defence. Taken as a whole, the data presented here indicate that coping with environmentally demanding conditions requires a complex adjustment of the physiological metabolic pathways to ensure survival by minimising intracellular damage.</t>
  </si>
  <si>
    <t>Consejo Nacl Invest Cient &amp; Tecn, CADIC, Ctr Austral Invest Cient, Ushuaia, Tierra Fuego, Argentina; Univ Buenos Aires, Fac Farm &amp; Bioquim, Fisioquim PRALIB, RA-1113 Buenos Aires, DF, Argentina; Alfred Wegener Inst Polar &amp; Marine Res, D-2850 Bremerhaven, Germany</t>
  </si>
  <si>
    <t>Consejo Nacional de Investigaciones Cientificas y Tecnicas (CONICET); University of Buenos Aires; Helmholtz Association; Alfred Wegener Institute, Helmholtz Centre for Polar &amp; Marine Research</t>
  </si>
  <si>
    <t>Consejo Nacl Invest Cient &amp; Tecn, CADIC, Ctr Austral Invest Cient, CC 92,V9410BFD, Ushuaia, Tierra Fuego, Argentina.</t>
  </si>
  <si>
    <t>susanap@ffyb.uba.ar</t>
  </si>
  <si>
    <t>Abele, Doris/0000-0002-5766-5017</t>
  </si>
  <si>
    <t>WOS:000234678700026</t>
  </si>
  <si>
    <t>Vanella, FA; Calvo, J; Morriconi, ER; Aureliano, DR</t>
  </si>
  <si>
    <t>Somatic energy content and histological analysis of the gonads in Antarctic fish from the Scotia Arc</t>
  </si>
  <si>
    <t>energy content; reproduction; gonadal histology; ovary; testis; Antarctic fish; notothenioids</t>
  </si>
  <si>
    <t>PATAGONOTOTHEN-TESSELLATA RICHARDSON; NOTOTHENIOID FISH; BEAGLE CHANNEL; NORTHERN GULF; LIPID-CONTENT; ROSS SEA; REPRODUCTION; PISCES; EVOLUTION; PERCIFORMES</t>
  </si>
  <si>
    <t>Histological characteristics of the gonads and the energy contents of axial muscle, liver and gonads of Antarctic notothenioid fish collected during the LAMPOS (Latin American Polarstern Study) survey in April 2002 were analysed. Ovaries and testes were staged following histological maturity criteria. Oocyte diameters frequency were established and fecundity values were estimated. The energetic values (kJ/g) of different organs were determined using a microcalorimetric bomb. Ovaries of Chaenocephalus aceratus showed a generalised atretic process. The gonadal histology of Champsocephalus gunnari, Pseudochaenichthys georgianus and Chionodracus rastrospinosus suggests that their spawnings take place in autumn. Gobionotothen gibberiftons and Lepidonotothen larseni females were in the process of maturation, with the ovaries of the former containing yolked and atretic oocytes together. Ovaries of Lepidonotothen kempi showed old postovulatory follicles, which provided evidence of previous spawning. Gonads from both sexes of Dissostichus eleginoides were immature. Absolute and relative fecundity were lower in Channichthyidae than in Notothemidae. The energy contents of the different organs analysed were: liver &gt; gonads &gt; axial muscle. The highest energy density value (kJ/g wet body mass) was found in Dissostichus eleginoides.</t>
  </si>
  <si>
    <t>Consejo Nacl Invest Cient &amp; Tecn, Ctr Austral Invest Cient, Ushuaia, Argentina</t>
  </si>
  <si>
    <t>Consejo Nacional de Investigaciones Cientificas y Tecnicas (CONICET)</t>
  </si>
  <si>
    <t>Consejo Nacl Invest Cient &amp; Tecn, Ctr Austral Invest Cient, Ushuaia, Argentina.</t>
  </si>
  <si>
    <t>fvanella@tierradelfuego.org.ar</t>
  </si>
  <si>
    <t>10.3989/scimar.2005.69s2305</t>
  </si>
  <si>
    <t>WOS:000234678700027</t>
  </si>
  <si>
    <t>Vanella, FA; Calvo, J</t>
  </si>
  <si>
    <t>Influence of temperature, habitat and body mass on routine metabolic rates of Subantarctic teleosts</t>
  </si>
  <si>
    <t>metabolic cold adaptation; Subantarctic fish; notothenioids; respirometry; temperature</t>
  </si>
  <si>
    <t>COLD ADAPTATION; OXYGEN-CONSUMPTION; POLAR FISH; TOLERANCE; SOUTH; FACT</t>
  </si>
  <si>
    <t>Subantarctic notothenioids are exposed to wider variations in temperature than those encountered in the Antarctic Ocean, the ancestral environment of the group. In this study the influence of temperature on the routine metabolic rate of Subantarctic teleosts was described and the results were compared with routine metabolic rates of species with different geographical distributions, exploring the concept of Metabolic Cold Adaptation (MCA). Oxygen consumption (VO2R) was determined as an estimate of the routine metabolic rate for the following Subantarctic notothemoids: Paranotothenia magellanica, Patagonotothen sima, Eleginops maclovinus, Harpagifer bispinis and the eelpout Austrolycus depressiceps. In all studied species and tested temperatures, body mass and VO2R showed a positive correlation. A drop in the temperature from 10 to 2 degrees C produced a significant reduction of VO2R values with a Q(10) ((10-2)) varying between 4.69 and 9.54. VO2R values were related to species habitat: pelagic species reached the highest values of VO2R, while sluggish species had the lowest ones. We can conclude that the metabolic rates of these species of Subantarctic fish do not show MCA at the investigated temperatures.</t>
  </si>
  <si>
    <t>CADIS, Ctr Austral Invest Cient, RA-9410 Ushuaia, Argentina</t>
  </si>
  <si>
    <t>CADIS, Ctr Austral Invest Cient, CC 92, RA-9410 Ushuaia, Argentina.</t>
  </si>
  <si>
    <t>10.3989/scimar.2005.69s2317</t>
  </si>
  <si>
    <t>WOS:000234678700028</t>
  </si>
  <si>
    <t>Fernández, DA; Calvo, J; Johnston, IA</t>
  </si>
  <si>
    <t>Muscle growth in Antarctic and Subantarctic notothenioid fishes</t>
  </si>
  <si>
    <t>Antarctic notothenioids; Subantarctic notothenioids; muscle development; muscle growth; temperature; hypertrophy; hyperplasia</t>
  </si>
  <si>
    <t>PROGENITOR CELLS; FIBER TYPES; SUBZERO TEMPERATURES; DIFFUSION DISTANCES; HYPERTROPHIC GROWTH; ADAPTIVE RADIATION; LATERAL MUSCLE; SLOW; MYOD; TELEOST</t>
  </si>
  <si>
    <t>The suborder Notothenioidei comprises 122 species divided into 8 families, with members of 6 of the families living outside Antarctic waters. The Antarctic species underwent an extensive radiation from a small demersal ancestor to occupy different ecological niches and levels in the water column. The axial muscle of Antarctic and some Subantarctic notothenioids is unusual in containing very large diameter muscle fibres and a low muscle fibre number. Maximum fibre diameters are greater than 500 mu m in many species. There is no indication of systematic differences in fibre number, fibre type composition, ATPase activity, time of cessation of fibre recruitment (hyperplasia) and swimming performance between Antarctic and Subantarctic species. Instead, fibre number is significantly decreased in species belonging to the most derived families relative to the more basal families (a trend that also correlates with an increase in the diameter of the fibres). The length of the cell cycle of the muscle fibres shows cold compensation in the Antarctic species H. antarcticus relative to the closely related Subantarctic one (H. bispinis). Feeding after a starvation period results in a strong stimulation of the proliferation of muscle fiber progenitors in H. bispinis. Similar studies have not yet been performed on any Antarctic species.</t>
  </si>
  <si>
    <t>CADIC, Lab Ecophysiol, Ushuaia, Tierra Fuego, Argentina; Wesleyan Univ, Dept Biol, Middletown, CT 06459 USA; Univ St Andrews, Gatty Marine Lab, St Andrews KY16 8LB, Fife, Scotland</t>
  </si>
  <si>
    <t>Wesleyan University; University of St Andrews</t>
  </si>
  <si>
    <t>CADIC, Lab Ecophysiol, Ushuaia, Tierra Fuego, Argentina.</t>
  </si>
  <si>
    <t>dfernandez.ush@gmail.com</t>
  </si>
  <si>
    <t>Johnston, Ian A./AAE-2044-2019; Johnston, Ian A/D-6592-2013</t>
  </si>
  <si>
    <t>Fernandez, Daniel Alfredo/0000-0002-3367-4138</t>
  </si>
  <si>
    <t>10.3989/scimar.2005.69s2325</t>
  </si>
  <si>
    <t>WOS:000234678700029</t>
  </si>
  <si>
    <t>Malumián, N; Olivero, EB</t>
  </si>
  <si>
    <t>Shallow-water late middle Eocene crinoids from Tierra del Fuego:: a new southern record of a retrograde community structure</t>
  </si>
  <si>
    <t>Tierra del Fuego; Eocene; Leticia Formation; shallow -marine; crinoids; Isselicrinus; Nodosariacea; retrograde community structure</t>
  </si>
  <si>
    <t>PALEOCENE; ISLAND; STRATIGRAPHY</t>
  </si>
  <si>
    <t>One of the very few crinoid records in Patagonia is that of the abundant columnals of the genus Isselicrinus found in several localities in shallow marine, glauconitic sandstones of the Leticia Formation (upper middle Eocene of Tierra del Fuego Island). Some of them, up to 10 cm long, are preserved in a position almost perpendicular to the stratification, which is attributed to episodes of high sedimentation rate. The Isselicrinus remains occur either almost alone or associated with solitary corals, gastropods, bivalves, rare nautilids, shark teeth, penguin bones and well-preserved specimens of Ophiura elegantoides. The associated microfossils, mainly Foraminifera, are characterised by the anomalous abundance and dominance of large Nodosariacea. These records reflect a peculiar success of a retrograde, dense, suspension-feeding crinoid population as a regional extension of previously described distribution in the Antarctic upper Eocene.</t>
  </si>
  <si>
    <t>Consejo Nacl Invest Cient &amp; Tecn, SEGEMAR, RA-1194 Buenos Aires, DF, Argentina; Consejo Nacl Invest Cient &amp; Tecn, CADIC, Ushuaia, Argentina</t>
  </si>
  <si>
    <t>Consejo Nacional de Investigaciones Cientificas y Tecnicas (CONICET); Consejo Nacional de Investigaciones Cientificas y Tecnicas (CONICET)</t>
  </si>
  <si>
    <t>Consejo Nacl Invest Cient &amp; Tecn, SEGEMAR, Benjamin Lavaisse C 1107BJD, RA-1194 Buenos Aires, DF, Argentina.</t>
  </si>
  <si>
    <t>malumian@mpgeol.gov.ar</t>
  </si>
  <si>
    <t>10.3989/scimar.2005.69s2349</t>
  </si>
  <si>
    <t>WOS:000234678700031</t>
  </si>
  <si>
    <t>Thomson, MRA</t>
  </si>
  <si>
    <t>Thoughts on controls on evolution and dispersal of benthos in the Magellan-Scotia Sea region: a workshop proposal</t>
  </si>
  <si>
    <t>Antarctic; evolution; invertebrates; faunistic exchange; interdisciplinary perspectives</t>
  </si>
  <si>
    <t>ANTARCTIC CIRCUMPOLAR CURRENT</t>
  </si>
  <si>
    <t>The Scotia Arc and the Scotia Sea comprise a geologically young feature of the Earth's surface that evolved over the last 40 million years (Ma) or so, between the southern tip of South America and the northern tip of the Antarctic Peninsula. With the notable exception of the much younger South Sandwich Islands, the islands, banks and seamounts of the arc represent dispersed fragments of a previous continental link between southern South America (Magellan region) and the Antarctic Peninsula. The benthic marine shelf faunas of the region are the focus of the IBMANT (Investigacion Biolologica Marina en Magallanes relacionada con la Antartida) programme, and those of the surrounding oceanic deeps are the focus of ANDEEP (Antarctic Benthic Deep-Sea Biodiversity). Elucidating the potential relationships between the faunas of the region and the profound geographical, oceanographic and climatic changes undergone by the region in later Cenozoic time is hampered by significant unknowns in the geological history, the expense of further geoscientific exploration to fill these, and a general lack of communication between the biological and geological science communities. It is suggested that the time is opportune for a truly multidisciplinary workshop at which all the involved science communities have much to gain from the others.</t>
  </si>
  <si>
    <t>Univ Leeds, Sch Earth Sci, Leeds, W Yorkshire, England</t>
  </si>
  <si>
    <t>University of Leeds</t>
  </si>
  <si>
    <t>Thomson, MRA (corresponding author), Univ Leeds, Sch Earth Sci, Leeds, W Yorkshire, England.</t>
  </si>
  <si>
    <t>m.thomson@stone-house.demon.co.uk</t>
  </si>
  <si>
    <t>10.3989/scimar.2005.69s2355</t>
  </si>
  <si>
    <t>WOS:000234678700032</t>
  </si>
  <si>
    <t>Arntz, WE</t>
  </si>
  <si>
    <t>The Magellan-Antarctic connection: links and frontiers at southern high latitudes. Summary review</t>
  </si>
  <si>
    <t>TIERRA-DEL-FUEGO; GLOBAL CLIMATE; OCEAN; ORIGIN</t>
  </si>
  <si>
    <t>10.3989/scimar.2005.69s2359</t>
  </si>
  <si>
    <t>WOS:000234678700033</t>
  </si>
  <si>
    <t>Robson, TM; Pancotto, VA; Scopel, AL; Flint, SD; Caldwell, MM</t>
  </si>
  <si>
    <t>Solar UV-B influences microfaunal community composition in a Tierra del Fuego peatland</t>
  </si>
  <si>
    <t>SOIL BIOLOGY &amp; BIOCHEMISTRY</t>
  </si>
  <si>
    <t>ozone depletion; testate amoebae; rotifer; nematode; acari mites; diversity; biogeochemistry</t>
  </si>
  <si>
    <t>SIMULATED CLIMATE-CHANGE; TESTATE AMEBAS PROTOZOA; MICROBIAL COMMUNITIES; TESTACEANS PROTOZOA; SOUTHERN ARGENTINA; SPHAGNUM PEATLAND; VASCULAR PLANTS; RADIATION; RHIZOPODA; CARBON</t>
  </si>
  <si>
    <t>The peatlands of Tierra del Fuego are subject to increased solar ultraviolet-B radiation (UV-B) due to the influence of the Antarctic 'ozone hole'. Research into the effects of climate change and ozone depletion on peatlands has predominantly focused on the higher plant community and neglected other organisms. In the second 3-year portion of a 6-year experiment, we intensified our investigations of the response of the peatland surface microfaunal community to current and attenuated solar UV-B, and assessed possible links to changes in the microenvironment. Near-ambient UV-B and reduced UV-B treatments were realised by stretching plastic film filters that differentially attenuate UV-B over peatland sample plots. We extracted the microfauna and analysed the dissolved nutrients held within Sphagnum capitula removed from the top I-cm of the peatland. In line with previous findings in this system, testate amoebae were more abundant under near-ambient UV-B than under reduced UV-B. Populations of the most common genus, Assulina, and other less prominent amoebae species of Heleopera and Euglypha, were consistently increased under near-ambient UV-B. Overall diversity of testate amoebae was also higher under near-ambient UV-B than under reduced UV-B, whereas rotifers, nematodes and mites were less abundant under near-ambient UV-B. Concentrations of DOC and P were generally higher under near-ambient UV-B than under reduced UV-B. These changes, combined with the changes previously reported in the plant and fungal communities, have the potential to influence peatland C storage, and surface nutrient availability. The peatland microfaunal community under near-ambient solar UV-B may be regulated by the plant community through the leaching of nutrients from leaf cells, and changes in Sphagnum morphology that affect the capitulum microenvironment. (c) 2005 Elsevier Ltd. All rights reserved.</t>
  </si>
  <si>
    <t>Utah State Univ, Ctr Ecol, Logan, UT 84322 USA; Univ Buenos Aires, Fac Agron, IFEVA CONICET, RA-1053 Buenos Aires, DF, Argentina</t>
  </si>
  <si>
    <t>Utah System of Higher Education; Utah State University; Consejo Nacional de Investigaciones Cientificas y Tecnicas (CONICET); University of Buenos Aires</t>
  </si>
  <si>
    <t>Robson, TM (corresponding author), Univ Grenoble 1, CNRS, Lab Ecol Alpine, BP 53, F-38041 Grenoble 9, France.</t>
  </si>
  <si>
    <t>matt.robson@ujf-grenoble.fr</t>
  </si>
  <si>
    <t>Robson, Thomas Matthew/J-3381-2012</t>
  </si>
  <si>
    <t>Robson, Thomas Matthew/0000-0002-8631-796X</t>
  </si>
  <si>
    <t>0038-0717</t>
  </si>
  <si>
    <t>SOIL BIOL BIOCHEM</t>
  </si>
  <si>
    <t>Soil Biol. Biochem.</t>
  </si>
  <si>
    <t>10.1016/j.soilbio.2005.04.002</t>
  </si>
  <si>
    <t>Soil Science</t>
  </si>
  <si>
    <t>Agriculture</t>
  </si>
  <si>
    <t>998OF</t>
  </si>
  <si>
    <t>WOS:000234327700005</t>
  </si>
  <si>
    <t>Hoffman, PF</t>
  </si>
  <si>
    <t>Hoffman, Paul F.</t>
  </si>
  <si>
    <t>28th DeBeers Alex. Du Toit Memorial Lecture, 2004. On Cryogenian (Neoproterozoic) ice-sheet dynamics and the limitations of the glacial sedimentary record</t>
  </si>
  <si>
    <t>SOUTH AFRICAN JOURNAL OF GEOLOGY</t>
  </si>
  <si>
    <t>LOW-LATITUDE GLACIATION; GLACIOGENIC SLOPE DEPOSITS; ATMOSPHERIC CARBON-DIOXIDE; POSTGLACIAL CAP CARBONATES; NORTHEAST BRITISH-COLUMBIA; MIRBAT SANDSTONE FORMATION; SNOWBALL EARTH HYPOTHESIS; BANDED IRON-FORMATIONS; MACKENZIE MOUNTAINS; SOUTH-AUSTRALIA</t>
  </si>
  <si>
    <t>The snowball earth hypothesis is a unified theory accounting for the global distribution of Cryogenian (roughly 720 to 635 Ma) glacial and glacial marine deposits, their global synchroneity demonstrated by chemostratigraphy, and their close association with thick carbonate strata and sedimentary iron deposits (banded iron formation) in certain areas. It postulates that on two separate occasions, around 710 and 640 Ma, the ocean froze over from pole to pole for long periods (i.e., millions of years). The postulate has been widely criticized as being incompatible with the glacial sedimentary record indicating the former existence of fast-moving wet-base ice and open proglacial waters. The younger Cryogenian glaciation in northern Namibia presents an excellent opportunity to investigate the sedimentary record. The area was then a vast shallow-water carbonate platform situated in the tropics or subtropics. The platform had a sharply-defined southern edge, beyond which a stratigraphically tapered foreslope wedge descended into deep waters of the northern Damara extended terrain. The platform and foreslope were undergoing broad regional subsidence with no local structural deformation at the time of the younger glaciation. The Fransfontein Ridge (a present physiographic feature) is a simple homocline exposing a continuous 60-km-long section of the foreslope wedge. The western two-thirds of the ridge parallels the paleoslope contours 6 to 10 km south of the foreslope-platform break, where the seafloor would have been 550 to 800 m below the top of the platform based on modern analogs. The eastern third of the ridge angles up the foreslope to the platform edge. The Ghaub Formation is a sharply-bounded wedge of glacial marine strata that blankets the lower foreslope and tapers upslope to a pinch-out 61 km south of the platform edge. It comprises a stack of marine till tongues (massive and poorly-stratified diamictites including debris flows, grounding-line proximal `rain-out' and ice-contact diamictite) with subordinate stratified proglacial sediments variably rich in ice-rafted debris. The sediment is almost exclusively derived from the then top 60 m of the underlying carbonate (limestone and dolostone) platform and foreslope. Although most sediment transport indicators in the proglacial and subglacial strata are southerly-directed (i.e., down-slope), rare starved ripple trains indicate traction currents flowing westward parallel to the paleoslope contours. These contour currents may imply open waters on the Damara seaway south of the platform. The Ghaub Formation rests on a continuous erosion surface that carves out of the underlying strata a broad steep-walled trough, 0.1 km deep and similar to 18 km wide, assuming its axis is oriented roughly transverse to paleoslope contours. The glacial deposits average 80 m in thickness outside the trough, are attenuated on the sides of the trough, and form a steep moraine-like ridge in the trough axis. The ridge rises 600 m above the floor of the trough and is only 7.5 km wide at its base. It is composed of massive carbonate diamictite lacking proglacial strata. The ridge is interpreted as a transverse medial moraine formed near the mouth of a relatively narrow paleo-ice stream that eroded the trough. Ice streams are corridors of fast-flowing wet-base ice within an ice sheet and are thought to be responsible for up to 90% of the total ice drainage from the present Antarctic and Greenland ice sheets. Climate modeling suggests that annual mean surface temperatures on tropical continents with frozen oceans in the Cryogenian would have been similar to present Antarctica. Therefore, the existence of Cryogenian ice streams is not surprising and suggests that fast-flowing wet-base ice is not incompatible with a frozen ocean. Directly below the trough is a 20 km-wide by 500 m-thick carbonate grainstone prism representing a complex of submarine channels and levees, showing that the area of the trough was a major submarine drainage system long before the glaciation began. It was localized by a tectonic subsidence anomaly going back to the time of the older glaciation, when the platform was undergoing active crustal stretching. The moraine ridge was a prominent topographic feature at the end of the younger glaciation. The post-glacial cap dolostone was attenuated by winnowing on its flanks, but spectacular crystal fans of sea-floor aragonite (pseudomorphosed) are developed exclusively over the moraine in limestone directly above the cap dolostone. The basal part of the Ghaub Formation outside the ice-stream trough contains a mappable 'drift' of terrigenous siltstone. The most likely source of this detritus is a regionally extensive sheet of fine-grained terrigenous sediment that is erosionally cut-out by the ice-stream trough. Accordingly, the entire Ghaub Formation outside and inside the trough must be younger than the cutting of the trough. If the trough was cut by an ice stream at a glacial maximum (or maxima), then the Ghaub Formation is entirely recessional. Sedimentary features (e.g., ice-rafted debris, contour current indicators) within the Ghaub Formation do not represent conditions at the glacial maximum and do not constrain the extent of ocean ice cover at that time. If Cryogenian glacial deposits are recessional in other areas, issues still in dispute such as the maximum extent of marine ice cover will only be resolved with new geochemical data, for example iridium concentrations (cosmogenic dust proxy), boron isotopes (seawater pH proxy), and osmium isotopes (weathering proxy).</t>
  </si>
  <si>
    <t>Harvard Univ, Dept Earth &amp; Planetary Sci, Cambridge, MA 02138 USA</t>
  </si>
  <si>
    <t>Harvard University</t>
  </si>
  <si>
    <t>Hoffman, PF (corresponding author), Harvard Univ, Dept Earth &amp; Planetary Sci, 20 Oxford St, Cambridge, MA 02138 USA.</t>
  </si>
  <si>
    <t>hoffman@eps.harvard.edu</t>
  </si>
  <si>
    <t>GEOLOGICAL SOC SOUTH AFRICA</t>
  </si>
  <si>
    <t>MARSHALLTOWN</t>
  </si>
  <si>
    <t>PO BOX 61809, MARSHALLTOWN 2107, SOUTH AFRICA</t>
  </si>
  <si>
    <t>1012-0750</t>
  </si>
  <si>
    <t>1996-8590</t>
  </si>
  <si>
    <t>S AFR J GEOL</t>
  </si>
  <si>
    <t>S. Afr. J. Geol.</t>
  </si>
  <si>
    <t>10.2113/108.4.557</t>
  </si>
  <si>
    <t>045RC</t>
  </si>
  <si>
    <t>WOS:000237758500007</t>
  </si>
  <si>
    <t>Watkins, NW; Credgington, D; Hnat, B; Chapman, SC; Freeman, MP; Greenhough, J</t>
  </si>
  <si>
    <t>Watkins, Nicholas W.; Credgington, Daniel; Hnat, Bogdan; Chapman, Sandra C.; Freeman, Mervyn P.; Greenhough, John</t>
  </si>
  <si>
    <t>Towards synthesis of solar wind and geomagnetic scaling exponents: A fractional Levy motion model</t>
  </si>
  <si>
    <t>auroral indices; scaling; solar wind turbulence; fractional Levy</t>
  </si>
  <si>
    <t>AURORAL ELECTROJET INDEX; FIELD FLUCTUATIONS; TIME-SERIES; AE INDEXES; AFFINITY; EPSILON; SELF; CRITICALITY; IMF</t>
  </si>
  <si>
    <t>Mandelbrot introduced the concept of fractals to describe the non-Euclidean shape of many aspects of the natural world. In the time series context, he proposed the use of fractional Brownian motion (fBm) to model non-negligible temporal persistence, the 'Joseph Effect'; and Levy flights to quantify large discontinuities, the 'Noah Effect'. In space physics, both effects are manifested in the intermittency and long-range correlation which are by now well-established features of geomagnetic indices and their solar wind drivers. In order to capture and quantify the Noah and Joseph effects in one compact model, we propose the application of the 'bridging' fractional Levy motion (fLm) to space physics. We perform an initial evaluation of some previous scaling results in this paradigm, and show how fLm can model the previously observed exponents. We suggest some new directions for the future.</t>
  </si>
  <si>
    <t>British Antarctic Survey, Cambridge CB3 0ET, England; Univ Warwick, Space &amp; Astrophys Grp, Coventry CV4 7AL, W Midlands, England; Univ Leicester, Space Res Ctr, Leicester LE1 7RH, Leics, England</t>
  </si>
  <si>
    <t>UK Research &amp; Innovation (UKRI); Natural Environment Research Council (NERC); NERC British Antarctic Survey; University of Warwick; University of Leicester</t>
  </si>
  <si>
    <t>Watkins, NW (corresponding author), British Antarctic Survey, High Cross,Madingley Rd, Cambridge CB3 0ET, England.</t>
  </si>
  <si>
    <t>nww@bas.ac.uk</t>
  </si>
  <si>
    <t>Credgington, Dan/B-4132-2010; Chapman, Sandra/C-2216-2008; Watkins, Nicholas Wynn/C-5140-2008; Watkins, Nick/GPX-7439-2022; Freeman, Mervyn/E-5687-2019</t>
  </si>
  <si>
    <t>Credgington, Dan/0000-0003-4246-2118; Chapman, Sandra/0000-0003-0053-1584; Watkins, Nicholas Wynn/0000-0003-4484-6588; Watkins, Nick/0000-0003-4484-6588; Freeman, Mervyn/0000-0002-8653-8279</t>
  </si>
  <si>
    <t>EPSRC [EP/D062837/1] Funding Source: UKRI; NERC [bas010004, bas010021] Funding Source: UKRI; Engineering and Physical Sciences Research Council [EP/D062837/1] Funding Source: researchfish; Natural Environment Research Council [bas010021, bas010004] Funding Source: researchfish</t>
  </si>
  <si>
    <t>EPSRC(UK Research &amp; Innovation (UKRI)Engineering &amp; Physical Sciences Research Council (EPSRC)); NERC(UK Research &amp; Innovation (UKRI)Natural Environment Research Council (NERC)); Engineering and Physical Sciences Research Council(UK Research &amp; Innovation (UKRI)Engineering &amp; Physical Sciences Research Council (EPSRC)); Natural Environment Research Council(UK Research &amp; Innovation (UKRI)Natural Environment Research Council (NERC))</t>
  </si>
  <si>
    <t>10.1007/s11214-006-4578-2</t>
  </si>
  <si>
    <t>049MT</t>
  </si>
  <si>
    <t>WOS:000238021400022</t>
  </si>
  <si>
    <t>Ferraccioli, F; Jones, PC; Curtis, ML; Leat, PT</t>
  </si>
  <si>
    <t>Subglacial imprints of early Gondwana break-up as identified from high resolution aerogeophysical data over western Dronning Maud Land, East Antarctica</t>
  </si>
  <si>
    <t>TERRA NOVA</t>
  </si>
  <si>
    <t>40AR/39AR GEOCHRONOLOGY; GRAVITY-ANOMALIES; AIRBORNE GRAVITY; GIANT OKAVANGO; INDIAN-OCEAN; DYKE SWARMS; SYSTEM; AFRICA; AGE; GEOCHEMISTRY</t>
  </si>
  <si>
    <t>Determining the location and geometry of possible subglacial rifts in western Dronning Maud Land is a key element to address processes leading to early Gondwana break-up. However, previous geophysical investigations did not lead to unambiguous delineation of rift structures over this region. We interpret high-resolution airborne radar and aerogravity data to image subglacial rift structures. Subglacial topography, free-air and Bouguer gravity maps, coupled with 3D inverse gravity models, image a rift-rift-rift triple junction at the intersection of the Jutulstraumen ice stream and the Pencksokket glacier. These continental rifts were associated with alkaline and tholeiitic intrusions, minor dyke swarms and flood basalts of Jurassic age, but not with huge volumes of Karoo magmatism, such as that which characterizes the southern Africa conjugate margin. The western Dronning Maud Land triple junction may be linked to the Karoo mantle plume and represents an early stage of magmatism and rifting during Gondwana break-up.</t>
  </si>
  <si>
    <t>British Antarctic Survey, Geol Sci Div, Cambridge CB3 0ET, England</t>
  </si>
  <si>
    <t>British Antarctic Survey, Geol Sci Div, High Cross,Madingley Rd, Cambridge CB3 0ET, England.</t>
  </si>
  <si>
    <t>ffe@bas.ac.uk</t>
  </si>
  <si>
    <t>Curtis, Mike/HKV-6176-2023</t>
  </si>
  <si>
    <t>Ferraccioli, Fausto/0000-0002-9347-4736</t>
  </si>
  <si>
    <t>0954-4879</t>
  </si>
  <si>
    <t>1365-3121</t>
  </si>
  <si>
    <t>Terr. Nova</t>
  </si>
  <si>
    <t>10.1111/j.1365-3121.2005.00651.x</t>
  </si>
  <si>
    <t>987LQ</t>
  </si>
  <si>
    <t>WOS:000233519800011</t>
  </si>
  <si>
    <t>Martin, JW; Haney, TA</t>
  </si>
  <si>
    <t>Decapod crustaceans from hydrothermal vents and cold seeps: a review through 2005</t>
  </si>
  <si>
    <t>ZOOLOGICAL JOURNAL OF THE LINNEAN SOCIETY</t>
  </si>
  <si>
    <t>Anomura; biogeography; Brachyura; Caridea; collections; crabs; deep-sea; distribution; hydrothermal; shrimps; taxonomy</t>
  </si>
  <si>
    <t>MID-ATLANTIC RIDGE; CRAB BYTHOGRAEA-THERMYDRON; SHRIMP RIMICARIS-EXOCULATA; EAST PACIFIC RISE; DEEP-SEA SHRIMPS; GENUS NEMATOCARCINUS DECAPODA; BACK-ARC BASIN; CARIDEAN SHRIMP; COMMUNITY STRUCTURE; SNAKE PIT</t>
  </si>
  <si>
    <t>The taxonomic status, biogeographical distributions and existing collections are reviewed for all species of decapod crustaceans known from the vicinity of hydrothermal vents and cold (hydrocarbon or brine) seeps. To date, more than 125 species representing 33 families of decapods have been reported. Represented families are, in alphabetical order within infraorder, the penaeoid families Benthesicymidae and Sergestidae; the caridean families Alvinocarididae (all of which are vent or seep endemics), Crangonidae, Glyphocrangonidae, Hippolytidae, Nematocarcinidae, Oplophoridae, Palaemonidae, Pandalidae and Stylodactylidae; the anomuran families Chirostylidae, Galatheidae, Lithodidae and Parapaguridae; the brachyuran crab families Atelecyclidae, Bythograeidae (all of which are vent endemics), Cancridae, Epialtidae, Geryonidae, Goneplacidae, Homolidae, Majidae, Ocypodidae, Oregoniidae, Parthenopidae, Pisidae, Portunidae and Varunidae; the lobster (astacidean) family Nephropidae; and the thalassinidean families Axiidae, Callianassidae and Calocarididae. Some species appear to be vagrants, here defined as opportunistic species occasionally found in the vicinity of vent sites but not restricted to them. Other species, notably members of the shrimp family Alvinocarididae and the crab family Bythograeidae, are clearly endemics, known only from vent or seep sites and presumably restricted to them. All endemic vent shrimps, most of which were originally treated as members of the family Bresiliidae, are now treated as members of the family Alvinocarididae. The family Mirocarididae proposed earlier is no longer recognized following a recent review of the characters that define the genus Mirocaris and the family Alvinocarididae. Currently recognized vent-associated species of shrimp belong to six genera: Alvinocaris, Chorocaris, Mirocaris, Nautilocaris, Opaepele and Rimicaris; the genus Iorania is no longer recognized. Several more genera and species are in various stages of description (manuscripts in press or in review). Of the endemic shrimp genera, only Alvinocaris has been reported from both hydrothermal vents and cold seeps. Vagrant shrimp species include members of the families Crangonidae (one species), Hippolytidae (several species in the genus Lebbeus), Nematocarcinidae (genus Nematocarcinus, often seen but rarely collected), Oplophoridae (five genera), Palaemonidae (one species) and Pandalidae (one species of Chlorotocus questionably included). Within the Anomura, vent-associated species of the family Galatheidae (squat lobsters), most belonging to the genera Munida and Munidopsis, are probably vagrants rather than endemics, although some species are known only from vent sites to date and may prove to be true endemics. The galatheid genus Munidopsis is the most speciose and widespread of all vent-associated taxa and has been reported from both hot vents and cold seeps, although this probably reflects only the fact that it is a widespread and speciose deep-sea genus. Other galatheid genera reported from vent sites are Alainius, Phylladiorhynchus and Shinkaia. Also in the Anomura, three chirostylids in two genera (Eumunida and Uroptychus) are known, and the family Lithodidae is represented at several sites (by species in five genera). All of these anomurans are assumed by us to be vagrants rather than endemics, although some species are known only from one or two sites and may prove to be true endemics. The anomuran hermit crab family Parapaguridae is represented by a single species described recently from an active hydrothermal vent; howevr, the family (or at least a hermit crab assumed to belong to this family) is also known from other locations where it has not been collected. Among the Brachyura, endemic crab species are all members of the family Bythograeidae, which currently consists of five genera (with the number of recognized species in parentheses): Bythograea (6), Cyanagraea (1), Segonzacia (1), Austinograea (4) and Allograea (1). Vagrant crab species in the Atelecyclidae, Cancridae, Epialtidae, Geryonidae, Goneplacidae, Homolidae, Majidae, Ocypodidae, Oregoniidae, Parthenopidae, Pisidae and Portunidae reported from or near vents or seeps are assumed to be vagrants. One genus of Varunidae (Grapsoidea), Xenograpsus, is restricted to shallow-water volcanic systems off Japan and Taiwan and is apparently endemic to shallow thermal sites. The lobster family Nephropidae (known from the Mid-Atlantic Ridge) is represented by one recently described species of the genus Thymopides, the only other species of which is known from Antarctic waters. The thalassinoid ('mud shrimp') families Axiidae, Callianassidae and Calocarididae (all reported from the Gulf of Mexico) are represented by species as yet undescribed, with the exception of one recently described axiid from the Gulf and one vagrant callianassid species reported from a shallow volcanic system in the Aegean Sea. Unresolved taxonomic problems, some of which are presently under study by traditional morphological methods and/or comparative studies employing allozymes as well as mtDNA data, are mentioned, and limited genetic information as it relates to biogeography is included where known. A discussion of vent biogeography as it pertains to information on the Decapoda is included. Biogeographical trends include the apparent overall similarity of the Indian Ocean sites to those of the Mid-Atlantic with respect to decapods. Both Indian Ocean and Mid-Atlantic systems exhibit a relatively low endemic crab diversity (one species each, though in different genera) and a relatively high diversity and density of shrimp, including the alvinocarid shrimp genera Mirocaris and Rimicaris, which are found nowhere else. Collection trends include the unfortunate tendency for oceanographic researchers to store vent and seep specimens in university or personal laboratory freezers and other non-recognized repositories, making access to specimens, as well as accurate assessment of their systematic and biogeographical status, difficult. (c) 2005 The Linnean Society of London, Zoological Journal of the Linnean Society, 2005, 145, 445-522.</t>
  </si>
  <si>
    <t>Nat Hist Museum Los Angeles Cty, Res &amp; Collect Branch, Los Angeles, CA 90007 USA; Univ Calif Los Angeles, Los Angeles, CA 90095 USA</t>
  </si>
  <si>
    <t>Nat Hist Museum Los Angeles Cty, Res &amp; Collect Branch, 900 Exposit Blvd, Los Angeles, CA 90007 USA.</t>
  </si>
  <si>
    <t>jmartin@nhm.org</t>
  </si>
  <si>
    <t>0024-4082</t>
  </si>
  <si>
    <t>1096-3642</t>
  </si>
  <si>
    <t>ZOOL J LINN SOC-LOND</t>
  </si>
  <si>
    <t>Zool. J. Linn. Soc.</t>
  </si>
  <si>
    <t>10.1111/j.1096-3642.2005.00178.x</t>
  </si>
  <si>
    <t>987PW</t>
  </si>
  <si>
    <t>Green Submitted, Green Published, Bronze</t>
  </si>
  <si>
    <t>WOS:000233530800001</t>
  </si>
  <si>
    <t>Einoder, LD; Goldsworthy, SD</t>
  </si>
  <si>
    <t>Foraging flights of short-tailed shearwaters (Puffinus tenuirostris) from Althorpe Island:: Assessing their use of neritic waters</t>
  </si>
  <si>
    <t>TRANSACTIONS OF THE ROYAL SOCIETY OF SOUTH AUSTRALIA</t>
  </si>
  <si>
    <t>short-tailed shearwater; Puffinus tenuirostris; satellite tracking; foraging; Althorpe Island; modes of flight</t>
  </si>
  <si>
    <t>WANDERING ALBATROSSES; ANTARCTIC WATERS; BODY CONDITION; SEABIRDS; AUSTRALIA; LONG; FOOD; FISHERIES; PATTERNS; TRACKING</t>
  </si>
  <si>
    <t>The at-sea movement and habitat use of the short-tailed shearwater, Puffinus tenuirostris, were examined using satellite transmitters fixed dorsally to five parents provisioning chicks on Althorpe L, South Australia. Only foraging trips of short (duration were targeted by this Study, and a range of flight parameters including trip duration, foraging location, total distance covered, and maximum speed were recorded and analysed in order to (determine the behaviour of individuals undertaking short duration foraging trips. All short trips were performed during the daytime, and lasted between 16-18 hours. During these trips birds foraged exclusively over neritic waters 35 - 70 kill to the southwest of the colony. Variable wind conditions did not seem to influence either the direction of flight, or location of foraging activity. Most flight tracks were characterised by fast and direct outbound and return flight, with concentration of time spent (putative foraging activity) in a particular area, suggesting that birds were 'travelling' to a known foraging area. However, one track appeared less direct, as the bird frequently changed direction implying that 'searching' flight was being performed.</t>
  </si>
  <si>
    <t>Univ Adelaide, Sch Earth &amp; Environm Sci, Adelaide, SA 5005, Australia; S Australian Res &amp; Dev Inst Aquat Sci, Henley Beach, SA 5022, Australia</t>
  </si>
  <si>
    <t>Einoder, LD (corresponding author), Univ Adelaide, Sch Earth &amp; Environm Sci, Adelaide, SA 5005, Australia.</t>
  </si>
  <si>
    <t>Goldsworthy, Simon/0000-0003-4988-9085</t>
  </si>
  <si>
    <t>ROYAL SOC SOUTH AUSTRALIA INC</t>
  </si>
  <si>
    <t>ADELAIDE</t>
  </si>
  <si>
    <t>SOUTH AUSTRALIAN MUSEUM, NORTH TERRACE C/O HONORARY TREASURER, ADELAIDE, 5000, AUSTRALIA</t>
  </si>
  <si>
    <t>0372-1426</t>
  </si>
  <si>
    <t>T ROY SOC SOUTH AUST</t>
  </si>
  <si>
    <t>Trans. R. Soc. S. Aust.</t>
  </si>
  <si>
    <t>NOV 30</t>
  </si>
  <si>
    <t>989WR</t>
  </si>
  <si>
    <t>WOS:000233705200014</t>
  </si>
  <si>
    <t>Pastorino, G</t>
  </si>
  <si>
    <t>Recent Naticidae, (Mollusca: Gastropoda) from the Patagonian coast</t>
  </si>
  <si>
    <t>VELIGER</t>
  </si>
  <si>
    <t>PACIFIC; GENERA</t>
  </si>
  <si>
    <t>This is the first comprehensive revision of the gastropod family Naticidae from the Patagonian coast. The valid species are redescribed, based on type and other specimens, and illustrated, including SEM photographs of radulae and jaws. This revision is based on specimens collected at localities ranging from Uruguay and northern Argentina southwards to Tierra del Fuego, the Straits of Magellan, the Beagle Channel and the Malvinas Islands, along with some material from South Georgia, South Shetland, the South Orkney Islands, and the Palmer (Antarctic) Peninsula. Only thirteen of the numerous nominal species described from the Patagonian coast Lire herein considered valid: Notocochlis isabellean (d'Orbigny. 1840; Natica limbata d'Orbigny, 1837; Tectonatica impervia (Philippi, 1,45; Euspira constricta Dall. 1891: E. strebeli Dall. 1891; E. patagonica (Philippi, 1845; E. falklandica (Preston, 1913; Falsilunatia soluta Gould. 1847: Bulbus carcellesi Del], 1990; Polinices sp. cf. P. uber Valenciennes, 1832; Amauropsis anderssoni Strebel, 1906; A. aureolutea Strebel, 1908 and Kerguelenatica bioperculata Dell, 1990. In order to resolve the identity of several species, lectotypes were selected for the following species: Natica isabelleana d'Orbigny, 1840; N. limbata d'Orbigny 1837; and a neotype of Falsilunatia soluta Gould, 1847 is herein designated.</t>
  </si>
  <si>
    <t>Museo Argentino Ciencias Nat Bernardino Rivadavia, RA-1405 Buenos Aires, DF, Argentina</t>
  </si>
  <si>
    <t>Museo Argentino de Ciencias Naturales Bernardino Rivadavia (MACN)</t>
  </si>
  <si>
    <t>Pastorino, G (corresponding author), Museo Argentino Ciencias Nat Bernardino Rivadavia, Av Angel Gallardo 470 3 Psio Lab 57, RA-1405 Buenos Aires, DF, Argentina.</t>
  </si>
  <si>
    <t>pastorin@mail.retina.ar</t>
  </si>
  <si>
    <t>CALIF MALACOZOOLOGICAL SOC INC</t>
  </si>
  <si>
    <t>SANTA BARBARA</t>
  </si>
  <si>
    <t>SANTA BARBARA MUSEUM NATURAL HISTORY, 2559 PUESTA DEL SOL RD, SANTA BARBARA, CA 93105 USA</t>
  </si>
  <si>
    <t>0042-3211</t>
  </si>
  <si>
    <t>Veliger</t>
  </si>
  <si>
    <t>990HN</t>
  </si>
  <si>
    <t>WOS:000233733900001</t>
  </si>
  <si>
    <t>Lott, F; Goudard, L; Martin, A</t>
  </si>
  <si>
    <t>Links between the mountain torque and the Arctic Oscillation in the Laboratoire de Meteorologie Dynamique (LMDz), general circulation model</t>
  </si>
  <si>
    <t>LOW-FREQUENCY VARIABILITY; NORTHERN-HEMISPHERE; ANGULAR-MOMENTUM; BLOCKING; FLOW; SCALE; ATMOSPHERE; BALANCE</t>
  </si>
  <si>
    <t>Recent papers suggest that in the National Center for Environmental Prediction (NCEP) reanalysis data there is a dynamical link between the mountain torque and the Arctic Oscillation (AO) at periodicities near and below 30 days. This link essentially occurs because the AO is associated with a redistribution of mass from the polar regions to the midlatitudes, hence giving a substantial contribution to the mass term of the atmospheric angular momentum (AAM). These results are confirmed here by using a 30-year simulation done with the Laboratoire de Meteorologie Dynamique, zoom (LMDz), general circulation model. In particular, we verify that the changes in mass AAM occurring during intraseasonal variations of the AO are in good part driven by the mountain torque in the model also. In this respect, the LMDz model has the great advantage of closing the AAM budget nearly exactly, which is not the case with the NCEP reanalysis data. As the Antarctic Oscillation (AAO) is also associated with a redistribution of mass from the polar regions to the midlatitudes, its contribution to the AAM budget is also presented. As there are many fewer mountains in the Southern Hemisphere, we show that in the model as well as in the reanalysis the changes in mass AAM during intraseasonal variations of the AAO are in good part equilibrated by changes of opposite sign in wind AAM. The main interest of these results is that the mountain torque drives the changes in AAM, so it can sometimes participate actively in changes of the AO. It has a predictive value that is significant but small, around 10-15% for periodicities near and below one month, while a good fraction of the AO variability occurs at longer timescales.</t>
  </si>
  <si>
    <t>Ecole Normale Super, Meteorol Dynam Lab, CNRS, IPSL, F-75235 Paris, France</t>
  </si>
  <si>
    <t>Universite PSL; Ecole Normale Superieure (ENS); Universite Paris Cite; Sorbonne Universite; Centre National de la Recherche Scientifique (CNRS)</t>
  </si>
  <si>
    <t>Lott, F (corresponding author), Ecole Normale Super, Meteorol Dynam Lab, CNRS, IPSL, 24 Rue Lhomond, F-75235 Paris, France.</t>
  </si>
  <si>
    <t>flott@lmd.ens.fr; laure.goudard@ens-lyon.fr; martin@lmd.ens.fr</t>
  </si>
  <si>
    <t>NOV 29</t>
  </si>
  <si>
    <t>D22</t>
  </si>
  <si>
    <t>D22107</t>
  </si>
  <si>
    <t>10.1029/2005JD006073</t>
  </si>
  <si>
    <t>993EL</t>
  </si>
  <si>
    <t>WOS:000233936200004</t>
  </si>
  <si>
    <t>Rathod, V</t>
  </si>
  <si>
    <t>Distribution, abundance and vertical migration pattern of krill -: Eaphausia superba Dana at fishing area 58 of the Indian Ocean sector of Southern Ocean</t>
  </si>
  <si>
    <t>Antarctic krill; FIKEX; Indian Ocean; migration; Southern Ocean</t>
  </si>
  <si>
    <t>ANTARCTIC PENINSULA; EUPHAUSIA-SUPERBA; FEBRUARY 1982; SIBEX</t>
  </si>
  <si>
    <t>The First Indian Antarctic Krill Expedition (FIKEX) was an attempt to examine and obtain first-hand information pertaining to distribution, abundance and vertical migration pattern of krill - Euphausia superba Dana at fishing area 58 of the Indian Ocean sector of Southern Ocean. It has been ascertained that krill migrations occur between sea surface and a depth of about 100 m. Availability of food is the key factor affecting both seasonal and annual changes, and leads to krill migration. Under good feeding conditions the amplitude is maximal, and the migration cycle approaches 24 h. Adult individuals exhibit 24 h migration, whereas juveniles show lower migration, and their submergence is shallower. Water stratification may also affect krill distribution in the water column, and in certain conditions may lead to limitation of migration range.</t>
  </si>
  <si>
    <t>Natl Inst Oceanog, Panaji 403004, Goa, India</t>
  </si>
  <si>
    <t>Rathod, V (corresponding author), Natl Inst Oceanog, Panaji 403004, Goa, India.</t>
  </si>
  <si>
    <t>rathod@darya.nio.org</t>
  </si>
  <si>
    <t>CURRENT SCIENCE ASSN</t>
  </si>
  <si>
    <t>C V RAMAN AVENUE, PO BOX 8005, BANGALORE 560 080, INDIA</t>
  </si>
  <si>
    <t>NOV 25</t>
  </si>
  <si>
    <t>990IM</t>
  </si>
  <si>
    <t>WOS:000233736400025</t>
  </si>
  <si>
    <t>Olivier, F; Wotherspoon, SJ</t>
  </si>
  <si>
    <t>GIS-based application of resource selection functions to the prediction of snow petrel distribution and abundance in East Antarctica: Comparing models at multiple scales</t>
  </si>
  <si>
    <t>ECOLOGICAL MODELLING</t>
  </si>
  <si>
    <t>habitat selection; generalized additive model; generalized linear model; classification tree; model comparison; scale; conspecific attraction; population estimate</t>
  </si>
  <si>
    <t>GENERALIZED LINEAR-MODELS; SPATIAL AUTOCORRELATION; SPECIES DISTRIBUTIONS; HABITAT SELECTION; CLIMATE-CHANGE; REGRESSION; PATTERN; CLASSIFICATION; VEGETATION; NICHE</t>
  </si>
  <si>
    <t>Snow petrel numbers must be of the order of several millions. However, accurate population estimates are sparse although such information is necessary to monitor potential changes in the Antarctic ecosystem. A census of snow petrel nests was conducted at Casey (East Antarctica) during summer 2002-2003. Twenty percent of the ice-free areas (available nesting habitat for snow petrels) was surveyed using a random block design. During this survey, approximately 5000 nests were located. Generalized additive and linear modelling techniques and classification trees (GAM, GLM and CT) were used to fit resource selection functions, which modelled snow petrel abundance or presence-absence in relation to a set of environmental predictors (elevation, slope, aspect, curvature and substrate types estimated in percentage cover). The effect of spatial scale on the processes that influence habitat selection was investigated using GIS as a tool to create and test models at a hierarchical range of scales-from 200 m grid-sites level to 20 m quadrats. The strong predictive value of aspect, slope and percent cover in boulder and SCREE were identified at all scales. However, the significance of environmental predictors varied with scale, indicating that spatial scale matters in detecting habitat selection processes. In general, models were improved with the addition of spatial dependence terms representing the effect of conspecific attraction (coloniality), but these models were less applicable for predictive purposes. By predicting abundance from environmental characteristics (acquired for example, using aerial photography), resource selection functions may be a useful tool to refine population estimates of several petrel species in Antarctica without requiring intensive ground surveys. (c) 2005 Elsevier B.V. All rights reserved.</t>
  </si>
  <si>
    <t>Univ Tasmania, Inst Antarctic &amp; So Ocean Studies, Hobart, Tas 7001, Australia; Univ Tasmania, Sch Math &amp; Phys, Hobart, Tas 7001, Australia</t>
  </si>
  <si>
    <t>Univ Tasmania, Inst Antarctic &amp; So Ocean Studies, Private Bag 77, Hobart, Tas 7001, Australia.</t>
  </si>
  <si>
    <t>folivier@utas.edu.au</t>
  </si>
  <si>
    <t>Wotherspoon, Simon J/B-2390-2013</t>
  </si>
  <si>
    <t>Wotherspoon, Simon J/0000-0002-6947-4445</t>
  </si>
  <si>
    <t>0304-3800</t>
  </si>
  <si>
    <t>1872-7026</t>
  </si>
  <si>
    <t>ECOL MODEL</t>
  </si>
  <si>
    <t>Ecol. Model.</t>
  </si>
  <si>
    <t>10.1016/j.ecolmodel.2005.04.009</t>
  </si>
  <si>
    <t>985JT</t>
  </si>
  <si>
    <t>WOS:000233374300006</t>
  </si>
  <si>
    <t>Miller, KG; Kominz, MA; Browning, JV; Wright, JD; Mountain, GS; Katz, ME; Sugarman, PJ; Cramer, BS; Christie-Blick, N; Pekar, SF</t>
  </si>
  <si>
    <t>The phanerozoic record of global sea-level change</t>
  </si>
  <si>
    <t>NEW-JERSEY; RUSSIAN PLATFORM; NORTH-ATLANTIC; COASTAL-PLAIN; TIME-SCALE; SEQUENCES; STRATIGRAPHY; OLIGOCENE; EVENTS; EARTH</t>
  </si>
  <si>
    <t>We review Phanerozoic sea-level changes [543 million years ago (Ma) to the present] on various time scales and present a new sea-level. record for the past 100 million years (My). Long-term sea level peaked at 100 50 meters during the Cretaceous, implying that ocean-crust production rates were much lower than previously inferred. Sea level mirrors oxygen isotope variations, reflecting ice-volume change on the 10(4)- to 10(6)-year scale, but a link between oxygen isotope and sea level on the 10(7)-year scale must be due to temperature changes that we attribute to tectonicaliy controlled carbon dioxide variations. Sea-level change has influenced phytoplankton evolution, ocean chemistry, and the loci of carbonate, organic carbon, and siliciclastic sediment burial. Over the past 100 My, sea-level changes reflect global climate evolution from a time of ephemeral Antarctic ice sheets (100 to 33 Ma), through a time of large ice sheets primarily in Antarctica (33 to 2.5 Ma), to a world with large Antarctic and large, variable Northern Hemisphere ice sheets (2.5 Ma to the present).</t>
  </si>
  <si>
    <t>Rutgers State Univ, Dept Geol Sci, Piscataway, NJ 08854 USA; Western Michigan Univ, Dept Geosci, Kalamazoo, MI 49008 USA; Columbia Univ, Lamont Doherty Earth Observ, Palisades, NY 10964 USA; New Jersey Geol Survey, Trenton, NJ 08625 USA; Univ Oregon, Dept Geol Sci, Eugene, OR 97403 USA; CUNY Queens Coll, Sch Earth &amp; Environm Sci, Flushing, NY 11367 USA</t>
  </si>
  <si>
    <t>Rutgers University System; Rutgers University New Brunswick; Western Michigan University; Columbia University; University of Oregon; City University of New York (CUNY) System; Queens College NY (CUNY)</t>
  </si>
  <si>
    <t>Rutgers State Univ, Dept Geol Sci, Piscataway, NJ 08854 USA.</t>
  </si>
  <si>
    <t>kgm@rci.rutgers.edu</t>
  </si>
  <si>
    <t>Miller, Kenneth G/J-6845-2012; Cramer, Benjamin S/A-5303-2008; Christie-Blick, Nicholas/HOF-8770-2023; Wright, James/AAF-7180-2019</t>
  </si>
  <si>
    <t>kominz, michelle/0000-0002-8640-2742; Miller, Kenneth/0000-0002-7583-7425; Wright, James/0000-0001-5212-9146</t>
  </si>
  <si>
    <t>AMER ASSOC ADVANCEMENT SCIENCE</t>
  </si>
  <si>
    <t>1200 NEW YORK AVE, NW, WASHINGTON, DC 20005 USA</t>
  </si>
  <si>
    <t>0036-8075</t>
  </si>
  <si>
    <t>1095-9203</t>
  </si>
  <si>
    <t>Science</t>
  </si>
  <si>
    <t>10.1126/science.1116412</t>
  </si>
  <si>
    <t>988KN</t>
  </si>
  <si>
    <t>WOS:000233600200031</t>
  </si>
  <si>
    <t>Siegenthaler, U; Stocker, TF; Monnin, E; Lüthi, D; Schwander, J; Stauffer, B; Raynaud, D; Barnola, JM; Fischer, H; Masson-Delmotte, V; Jouzel, J</t>
  </si>
  <si>
    <t>Stable carbon cycle-climate relationship during the late Pleistocene</t>
  </si>
  <si>
    <t>VOSTOK ICE CORE; ATMOSPHERIC CO2 CONCENTRATION; TAYLOR-DOME; ANTARCTIC ICE; RECORD; HOLOCENE; VARIABILITY; AIR; AGE</t>
  </si>
  <si>
    <t>A record of atmospheric carbon dioxide (CO2) concentrations measured on the EPICA (European Project for Ice Coring in Antarctica) Dome Concordia ice core extends the Vostok CO2 record back to 650,000 years before the present (yr B.P.). Before 430,000 yr B.P., partial pressure of atmospheric CO2 lies within the range of 260 and 180 parts per million by volume. This range is almost 30% smaller than that of the last four glacial cycles; however, the apparent sensitivity between deuterium and CO2 remains stable throughout the six glacial cycles, suggesting that the relationship between CO2 and Antarctic climate remained rather constant over this interval.</t>
  </si>
  <si>
    <t>Univ Bern, Inst Phys, CH-3012 Bern, Switzerland; CNRS, Lab Glaciol &amp; Geophys Environm, F-38402 St Martin Dheres, France; Alfred Wegener Inst Polar &amp; Marine Res, D-27568 Bremerhaven, Germany; Ctr Etud Saclay, Inst Pierre Simon Laplace, Lab Sci Climat &amp; Environm, CEA CNRS 1572, F-91191 Gif Sur Yvette, France</t>
  </si>
  <si>
    <t>University of Bern; Centre National de la Recherche Scientifique (CNRS); Helmholtz Association; Alfred Wegener Institute, Helmholtz Centre for Polar &amp; Marine Research; Universite Paris Saclay; Universite Paris Cite; CEA; Centre National de la Recherche Scientifique (CNRS)</t>
  </si>
  <si>
    <t>Univ Bern, Inst Phys, Sidlerstr 5, CH-3012 Bern, Switzerland.</t>
  </si>
  <si>
    <t>stocker@climate.unibe.ch</t>
  </si>
  <si>
    <t>Masson-Delmotte, Valerie L/G-1995-2011; Raynaud, Dominique/H-9626-2016; raynaud, dominique/ABG-4718-2020; Stocker, Thomas F/B-1273-2013; Fischer, Hubertus/A-1211-2014</t>
  </si>
  <si>
    <t>Masson-Delmotte, Valerie L/0000-0001-8296-381X; Fischer, Hubertus/0000-0002-2787-4221</t>
  </si>
  <si>
    <t>10.1126/science.1120130</t>
  </si>
  <si>
    <t>WOS:000233600200037</t>
  </si>
  <si>
    <t>Spahni, R; Chappellaz, J; Stocker, TF; Loulergue, L; Hausammann, G; Kawamura, K; Flückiger, J; Schwander, J; Raynaud, D; Masson-Delmotte, V; Jouzel, J</t>
  </si>
  <si>
    <t>Atmospheric methane and nitrous oxide of the late Pleistocene from Antarctic ice cores</t>
  </si>
  <si>
    <t>LAST GLACIAL PERIOD; GREENLAND CLIMATE; CH4 GRADIENT; RECORD; HOLOCENE; CO2; TEMPERATURE; CYCLES; SCALE</t>
  </si>
  <si>
    <t>The European Project for Ice Coring in Antarctica Dome C ice core enables us to extend existing records of atmospheric methane (CH4) and nitrous oxide (N2O) back to 650,000 years before the present. A combined record of CH4 measured along the Dome C and the Vostok ice cores demonstrates, within the resolution of our measurements, that preindustrial concentrations over Antarctica have not exceeded 773 +/- 15 ppbv (parts per billion by volume) during the past 650,000 years. Before 420,000 years ago, when interglacials were cooler, maximum CH4 concentrations were only about 600 ppbv, similar to lower Holocene values. In contrast, the N2O record shows maximum concentrations of 278 +/- 7 ppbv, slightly higher than early Holocene values.</t>
  </si>
  <si>
    <t>Univ Bern, Inst Phys, CH-3012 Bern, Switzerland; UJF, CNRS, Lab Glaciol &amp; Geophys Environm, F-38402 St Martin Dheres, France; Ctr Etud Saclay, Inst Pierre Simon Laplace, Lab Sci Climat &amp; Environm, CEA CNRS 1572, F-91191 Gif Sur Yvette, France</t>
  </si>
  <si>
    <t>University of Bern; Centre National de la Recherche Scientifique (CNRS); Communaute Universite Grenoble Alpes; Universite Grenoble Alpes (UGA); Universite Paris Saclay; CEA; Centre National de la Recherche Scientifique (CNRS); Universite Paris Cite</t>
  </si>
  <si>
    <t>Masson-Delmotte, Valerie L/G-1995-2011; Stocker, Thomas F/B-1273-2013; Raynaud, Dominique/H-9626-2016; Fluckiger, Jacqueline/G-3457-2011; Chappellaz, Jérôme A./A-4872-2011; raynaud, dominique/ABG-4718-2020; Kawamura, Kenji/C-7660-2011</t>
  </si>
  <si>
    <t>Masson-Delmotte, Valerie L/0000-0001-8296-381X; Kawamura, Kenji/0000-0003-1163-700X</t>
  </si>
  <si>
    <t>10.1126/science.1120132</t>
  </si>
  <si>
    <t>WOS:000233600200038</t>
  </si>
  <si>
    <t>Holbourn, A; Kuhnt, W; Schulz, M; Erlenkeuser, H</t>
  </si>
  <si>
    <t>Impacts of orbital forcing and atmospheric carbon dioxide on Miocene ice-sheet expansion</t>
  </si>
  <si>
    <t>MIDDLE MIOCENE; CLIMATE TRANSITION; SOUTHWEST PACIFIC; ORGANIC-CARBON; OCEAN; EVOLUTION; CYCLE; PALEOCEANOGRAPHY; GLACIATION; INSOLATION</t>
  </si>
  <si>
    <t>The processes causing the middle Miocene global cooling, which marked the Earth's final transition into an 'icehouse' climate about 13.9 million years ago (Myr ago)(1-4), remain enigmatic. Tectonically driven circulation changes(5,6) and variations in atmospheric carbon dioxide levels(7,8) have been suggested as driving mechanisms, but the lack of adequately preserved sedimentary successions has made rigorous testing of these hypotheses difficult. Here we present high-resolution climate proxy records, covering the period from 14.7 to 12.7 million years ago, from two complete sediment cores from the northwest and southeast subtropical Pacific Ocean. Using new chronologies through the correlation to the latest orbital model(9), we find relatively constant, low summer insolation over Antarctica coincident with declining atmospheric carbon dioxide levels at the time of Antarctic ice-sheet expansion and global cooling, suggesting a causal link. We surmise that the thermal isolation of Antarctica played a role in providing sustained long-term climatic boundary conditions propitious for ice-sheet formation. Our data document that Antarctic glaciation was rapid, taking place within two obliquity cycles, and coincided with a striking transition from obliquity to eccentricity as the drivers of climatic change.</t>
  </si>
  <si>
    <t>Univ Kiel, Inst Geosci, D-24118 Kiel, Germany; Univ Bremen, Dept Geosci, D-28334 Bremen, Germany; Univ Bremen, Res Ctr Ocean Margins, D-28334 Bremen, Germany; Univ Kiel, Leibniz Lab Radiometr Dating &amp; Stable Isotope Res, D-24118 Kiel, Germany</t>
  </si>
  <si>
    <t>University of Kiel; University of Bremen; University of Bremen; University of Kiel</t>
  </si>
  <si>
    <t>Univ Kiel, Inst Geosci, Olshaussenstr 40, D-24118 Kiel, Germany.</t>
  </si>
  <si>
    <t>ah@gpi.uni-kiel.de</t>
  </si>
  <si>
    <t>; Schulz, Michael/P-7276-2016</t>
  </si>
  <si>
    <t>Holbourn, Ann/0000-0002-3167-0862; Schulz, Michael/0000-0001-6500-2697</t>
  </si>
  <si>
    <t>NOV 24</t>
  </si>
  <si>
    <t>10.1038/nature04123</t>
  </si>
  <si>
    <t>986NY</t>
  </si>
  <si>
    <t>WOS:000233458200046</t>
  </si>
  <si>
    <t>Müller, R; Tilmes, S; Konopka, P; Grooss, JU; Jost, HJ</t>
  </si>
  <si>
    <t>Impact of mixing and chemical change on ozone-tracer relations in the polar vortex</t>
  </si>
  <si>
    <t>ATMOSPHERIC CHEMISTRY AND PHYSICS</t>
  </si>
  <si>
    <t>HALOGEN OCCULTATION EXPERIMENT; ATMOSPHERIC SPECTROMETER ILAS; BALLOON-BORNE OBSERVATIONS; IN-SITU OBSERVATIONS; ARCTIC VORTEX; STRATOSPHERE CLAMS; LAGRANGIAN MODEL; CHLORINE ACTIVATION; ANTARCTIC STRATOSPHERE; AIRCRAFT MEASUREMENTS</t>
  </si>
  <si>
    <t>Tracer-tracer relations have been used for a long time to separate physico-chemical change from change caused by transport processes. In particular, for more than a decade, ozone-tracer relations have been used to quantify chemical ozone loss in the polar vortex. The application of ozone-tracer relations for quantifying ozone loss relies on two hypotheses: that a compact ozone-tracer relation is established in the 'early' polar vortex and that any change of the ozone-tracer relation in the vortex over the course of winter is caused predominantly by chemical ozone loss. Here, we revisit this issue by analysing various sets of measurements and the results from several models. We find that mixing across the polar vortex edge impacts ozone-tracer relations in a way that may solely lead to an 'underestimation' of chemical ozone loss and not to an overestimation. Further, differential descent in the vortex and internal mixing has only a negligible impact on ozone loss estimates. Moreover, the representation of mixing in three-dimensional atmospheric models can have a substantial impact on the development of tracer relations in the model. Rather compact ozone-tracer relations develop - in agreement with observations in the vortex of a Lagrangian model (CLaMS) where mixing is anisotropic and driven by the deformation of the flow. We conclude that, if a reliable 'early vortex' reference can be obtained and if vortex measurements are separated from mid-latitude measurements, ozone-tracer relations constitute a reliable tool for the quantitative determination of chemical ozone loss in the polar vortex.</t>
  </si>
  <si>
    <t>Forschungszentrum Julich, ICG I, D-52425 Julich, Germany; Bay Area Environm Res Inst, Sonoma, CA USA</t>
  </si>
  <si>
    <t>Helmholtz Association; Research Center Julich</t>
  </si>
  <si>
    <t>Forschungszentrum Julich, ICG I, Postfach 1913, D-52425 Julich, Germany.</t>
  </si>
  <si>
    <t>ro.mueller@fz-juelich.de</t>
  </si>
  <si>
    <t>Grooß, Jens-Uwe/N-3305-2019; Grooß, Jens-Uwe/A-7315-2013; Müller, Rolf/ABA-8213-2021; Konopka, Paul/A-7329-2013</t>
  </si>
  <si>
    <t>Grooß, Jens-Uwe/0000-0002-9485-866X; Grooß, Jens-Uwe/0000-0002-9485-866X; Müller, Rolf/0000-0002-5024-9977; Konopka, Paul/0000-0002-5915-830X</t>
  </si>
  <si>
    <t>1680-7316</t>
  </si>
  <si>
    <t>1680-7324</t>
  </si>
  <si>
    <t>ATMOS CHEM PHYS</t>
  </si>
  <si>
    <t>Atmos. Chem. Phys.</t>
  </si>
  <si>
    <t>NOV 23</t>
  </si>
  <si>
    <t>988OG</t>
  </si>
  <si>
    <t>WOS:000233609900001</t>
  </si>
  <si>
    <t>Müller, RD; Cande, SC; Stock, JM; Keller, WR</t>
  </si>
  <si>
    <t>Crustal structure and rift flank uplift of the Adare Trough, Antarctica -: art. no. Q11010</t>
  </si>
  <si>
    <t>GEOCHEMISTRY GEOPHYSICS GEOSYSTEMS</t>
  </si>
  <si>
    <t>Adare Trough; Antarctica; depth anomaly; extinct ridge; flexure; rift; exploration geophysics : oceanic structures; marine geology and geophysics : gravity and; isostasy (1218,1222); marine geology and geophysics : midocean ridge processes</t>
  </si>
  <si>
    <t>GRAVITY; PLATE; LITHOSPHERE; MOTION; SYSTEM; RIDGE; MODEL</t>
  </si>
  <si>
    <t>The Adare Trough, located 100 km northeast of Cape Adare, Antarctica, represents the extinct third arm of a Tertiary spreading ridge between East and West Antarctica. It is characterized by pronounced asymmetric rift flanks elevated up to over 2 km above the trough's basement, accompanied by a large positive mantle Bouguer anomaly. On the basis of recently acquired seismic reflection and ship gravity data, we invert mantle Bouguer anomalies from the Adare Trough and obtain an unexpectedly large oceanic crustal thickness maximum of 9-10.5 km underneath the extinct ridge. A regional positive residual basement depth anomaly between 1 and 2.5 km in amplitude characterizes ocean crust from offshore Victoria Land to the Balleny Islands and north of Iselin Bank. The observations and models indicate that the mid/late Tertiary episode of slow spreading between East and West Antarctica was associated with a mantle thermal anomaly. The increasing crustal thickness toward the extinct ridge indicates that this thermal mantle anomaly may have increased in amplitude through time during the Adare spreading episode. This scenario is supported by a mantle convection model, which indicates the formation and strengthening of a major regional negative upper mantle density anomaly in the southwest Pacific in the last 50 million years. The total amount of post-26 Ma extension associated with Adare Trough normal faulting was about 7.5 km, in anomalously thick oceanic crust with a lithospheric effective elastic thickness (EET) between 3.5 and 5 km. This corresponds to an age between 3 and 5 million years based on a thermal boundary layer model and supports a scenario in which the Adare Trough formed soon after spreading between East and West Antarctica ceased, confined to relatively weak lithosphere with anomalously thick oceanic crust. There is little evidence for major subsequent structural activity in the Adare trough area from the available seismic data, indicating that this part of the West Antarctic Rift system became largely inactive in the early Miocene, with the exception of minor structural reactivation which is visible in the seismic data as offsets up to end of the early Pliocene.</t>
  </si>
  <si>
    <t>Univ Sydney, Sch Geosci, Sydney, NSW 2006, Australia; Univ Sydney, Inst Marine Sci, Sydney, NSW 2006, Australia; Univ Calif San Diego, Scripps Inst Oceanog, La Jolla, CA 92093 USA; CALTECH, Seismol Lab, Pasadena, CA 91125 USA</t>
  </si>
  <si>
    <t>University of Sydney; University of Sydney; University of California System; University of California San Diego; Scripps Institution of Oceanography; California Institute of Technology</t>
  </si>
  <si>
    <t>Univ Sydney, Sch Geosci, Sydney, NSW 2006, Australia.</t>
  </si>
  <si>
    <t>dietmar@geosci.usyd.edu.au</t>
  </si>
  <si>
    <t>Müller, Dietmar/L-1200-2019; Stock, Joann Miriam/AAN-1526-2021</t>
  </si>
  <si>
    <t>Müller, Dietmar/0000-0002-3334-5764; Stock, Joann Miriam/0000-0003-4816-7865</t>
  </si>
  <si>
    <t>1525-2027</t>
  </si>
  <si>
    <t>GEOCHEM GEOPHY GEOSY</t>
  </si>
  <si>
    <t>Geochem. Geophys. Geosyst.</t>
  </si>
  <si>
    <t>Q11010</t>
  </si>
  <si>
    <t>10.1029/2005GC001027</t>
  </si>
  <si>
    <t>988WA</t>
  </si>
  <si>
    <t>WOS:000233630800003</t>
  </si>
  <si>
    <t>Hernando, MP; Ferreyra, GA</t>
  </si>
  <si>
    <t>The effects of UV radiation on photosynthesis in an Antarctic diatom (Thalassiosira sp.):: Does vertical mixing matter?</t>
  </si>
  <si>
    <t>antarctic diatom; photosynthesis; UV radiation; vertical mixing</t>
  </si>
  <si>
    <t>ULTRAVIOLET-RADIATION; PHYTOPLANKTON PHOTOSYNTHESIS; MARINE-PHYTOPLANKTON; OZONE DEPLETION; SOUTHERN-OCEAN; POTTER COVE; INHIBITION; GROWTH; PRODUCTIVITY; IRRADIANCE</t>
  </si>
  <si>
    <t>The reduction of Antarctic stratospheric ozone results in significant increases in ultraviolet B radiation (UVB-R, 280-320 nm) reaching ocean's surface, potentially damaging phytoplankton. Several studies refer to the negative direct and indirect effects of UVB-R and ultraviolet A (UVA-R, 320-400 nm, which is not modified by ozone concentration) on different targets within algal cells. There are, however, internal and external processes, like vertical mixing, which can in part counteract such effects. The hypothesis that vertical mixing is a significant factor reducing the negative effects of ultraviolet radiation (UV-R, 280-400 nm) on planktonic algae photosynthesis was tested at Potter Cove (South Shetland Is., Antarctica). Three laboratory (solar simulator, SOLSI) and two field (natural Sun exposure) experiments were conducted. Vertical mixing was studied exposing cells of Thalassiosira sp., a typically bloom forming diatom in Antarctic waters, to variable light conditions simulating 6 h cycles (Mix treatment), whereas incubations at two fixed depths were used as controls (0.5 and 5 m, S-fix and D-fix treatments, respectively). Light effects were studied for each of the previous exposure conditions considering three treatments: PAR-T (exposure to PAR, photosynthetic active radiation, 400-700 nm), UVA-T (exposure to PAR and UVA-R) and UVB-T (exposure to PAR, UVA-R and UVB-R). During SOLSI experiments no significant differences were found between the different light treatments under simulated normal and medium ozone concentrations. Under low ozone conditions, 40% reduction in photosynthesis was observed in the UVB-T for surface incubations. In contrast, no significant differences were observed among the light treatments under mixing conditions. Field and laboratory experiments showed similar results. However, during one of the field experiments when ozone was low, not only S-fix but Mix incubations presented a significant reduction in photosynthesis, suggesting that vertical mixing under such conditions was not efficient enough to prevent harmful UVB-R effects. On the other hand, during a day with high insulation and normal ozone, but with elevated absorption of light in the water column, no significant effects of any of the studied factors were detected. In conclusion, vertical mixing was shown to play a significant role in protecting algae under low ozone concentrations, lessening photoinhibition by UVB radiation. The differences between laboratory and field experiment,, are discussed in terms of the relative significance of UVB-R dose and dose rate on both types of experiments. (c) 2005 Elsevier B.V. All rights reserved.</t>
  </si>
  <si>
    <t>Consejo Nacl Invest Cient &amp; Tecn, CADIC, Ushuaia, Argentina; Inst Antartico Argentino, RA-1010 Buenos Aires, DF, Argentina</t>
  </si>
  <si>
    <t>Consejo Nacl Invest Cient &amp; Tecn, CADIC, B Houssay 200, Ushuaia, Argentina.</t>
  </si>
  <si>
    <t>hernandom@ciudad.com.ar; gferreyra@dna.gov.ar</t>
  </si>
  <si>
    <t>1879-1697</t>
  </si>
  <si>
    <t>NOV 22</t>
  </si>
  <si>
    <t>10.1016/j.jembe.2005.04.021</t>
  </si>
  <si>
    <t>987EQ</t>
  </si>
  <si>
    <t>WOS:000233501600005</t>
  </si>
  <si>
    <t>Blazewicz-Paszkowycz, M; Larsen, K</t>
  </si>
  <si>
    <t>New species of the genus Collettea Lang, 1973 (Peracarida: Tanaidacea, Colletteidae) from the Antarctic</t>
  </si>
  <si>
    <t>ZOOTAXA</t>
  </si>
  <si>
    <t>Collettea; Colletteidae; Tanaidacea; Peracarida; Antarctic</t>
  </si>
  <si>
    <t>Three new species of Collettea Lang, 1973: C. alicjae, C. lilliputa and C. longipleona are described from the Antarctic, based on the collections made on board the R/V Eltanin and R/V Polarstern from the abyssal depth of range 2281-4304 m. Apart from the three species described in this paper three other Collettea species were found in the region of the West Antarctic but lack of the material prohibited formal description of those species. Currently 20 species belong to Collettea ( including the six enumerated in this paper) are known from deep-sea location in all major oceans. A key for Collettea species is proposed. The genus is considered a deep-sea taxon and the few findings at localities with relatively shallow water are all at high latitudes which is considered a case of polar or isothermic emergence.</t>
  </si>
  <si>
    <t>Univ Lodz, Dept Polar Biol &amp; Oceanobiol, PL-90237 Lodz, Poland; Univ Copenhagen, Zool Museum, Invertebrate Dept, DK-2100 Copenhagen, Denmark</t>
  </si>
  <si>
    <t>University of Lodz; University of Copenhagen</t>
  </si>
  <si>
    <t>Univ Lodz, Dept Polar Biol &amp; Oceanobiol, Banacha 12-16, PL-90237 Lodz, Poland.</t>
  </si>
  <si>
    <t>magdab@biol.uni.lodz.pl; tanaids@hotmail.com</t>
  </si>
  <si>
    <t>Błażewicz, Magdalena/J-5175-2017; Larsen, Kim/I-5398-2013</t>
  </si>
  <si>
    <t>Blazewicz, Magdalena/0000-0002-4753-3424; Larsen, Kim/0000-0002-6473-7285</t>
  </si>
  <si>
    <t>MAGNOLIA PRESS</t>
  </si>
  <si>
    <t>AUCKLAND</t>
  </si>
  <si>
    <t>PO BOX 41383, AUCKLAND, ST LUKES 1030, NEW ZEALAND</t>
  </si>
  <si>
    <t>1175-5326</t>
  </si>
  <si>
    <t>1175-5334</t>
  </si>
  <si>
    <t>Zootaxa</t>
  </si>
  <si>
    <t>10.11646/zootaxa.1085.1.1</t>
  </si>
  <si>
    <t>989DV</t>
  </si>
  <si>
    <t>WOS:000233654000001</t>
  </si>
  <si>
    <t>Laurenza, M; Storini, M; Moreno, G</t>
  </si>
  <si>
    <t>Use of cosmic ray measurements to identify the sector polarities of the interplanetary magnetic field</t>
  </si>
  <si>
    <t>INTERNATIONAL JOURNAL OF MODERN PHYSICS A</t>
  </si>
  <si>
    <t>19th European Cosmic Ray Symposium</t>
  </si>
  <si>
    <t>AUG 30-SEP 03, 2003</t>
  </si>
  <si>
    <t>Florence, ITALY</t>
  </si>
  <si>
    <t>interplanetary magnetic field polarities; cosmic ray anisotropy; geomagnetic polar field</t>
  </si>
  <si>
    <t>ASYMMETRY</t>
  </si>
  <si>
    <t>The knowledge of the interplanetary magnetic field sector polarity at the Earth's location is relevant to study many phenomena related to the Space Climatology. We filled the gaps in the daily polarities, of the interplanetary magnetic field derived from spacecraft observations by using two sets of ground-based measurements: i) the cosmic ray muon component intensities supplied by the multidirectional Nagoya telescope; ii) the geomagnetic field from the Antarctic Vostok Observatory. We discuss the time variability of the sector polarities inferred from the wavelet technique in the period 1971-1992.</t>
  </si>
  <si>
    <t>CNR, IFSI, I-00133 Rome, Italy; Univ Roma La Sapienza, Dipartimento Fis, I-00185 Rome, Italy</t>
  </si>
  <si>
    <t>Consiglio Nazionale delle Ricerche (CNR); Istituto Nazionale Astrofisica (INAF); Sapienza University Rome</t>
  </si>
  <si>
    <t>Laurenza, M (corresponding author), CNR, IFSI, Via Fosso Cavaliere,100, I-00133 Rome, Italy.</t>
  </si>
  <si>
    <t>Laurenza, Monica/HMD-8729-2023</t>
  </si>
  <si>
    <t>Laurenza, Monica/0000-0001-5481-4534</t>
  </si>
  <si>
    <t>WORLD SCIENTIFIC PUBL CO PTE LTD</t>
  </si>
  <si>
    <t>SINGAPORE</t>
  </si>
  <si>
    <t>5 TOH TUCK LINK, SINGAPORE 596224, SINGAPORE</t>
  </si>
  <si>
    <t>0217-751X</t>
  </si>
  <si>
    <t>INT J MOD PHYS A</t>
  </si>
  <si>
    <t>Int. J. Mod. Phys. A</t>
  </si>
  <si>
    <t>NOV 20</t>
  </si>
  <si>
    <t>10.1142/S0217751X05029885</t>
  </si>
  <si>
    <t>Physics, Nuclear; Physics, Particles &amp; Fields</t>
  </si>
  <si>
    <t>003SU</t>
  </si>
  <si>
    <t>WOS:000234702700032</t>
  </si>
  <si>
    <t>Berthelier, JJ; Bonaimé, S; Ciarletti, V; Clairquin, R; Dolon, F; Le Gall, A; Nevejans, D; Ney, R; Reineix, A</t>
  </si>
  <si>
    <t>Initial results of the Netlander imaging ground-penetrating radar operated on the Antarctic Ice Shelf -: art. no. L22305</t>
  </si>
  <si>
    <t>GPR EXPERIMENT; SUBSURFACE; MARS</t>
  </si>
  <si>
    <t>The objective of the Netlander mission was to land 4 small geophysical stations on the surface of Mars to study the deep interior, subsurface, surface and atmosphere of the planet. Included in the payload was a ground penetrating radar (GPR) designed to retrieve not only the distance but also the direction of the reflectors, thus providing a simplified 3D imaging of the subsurface. In this paper we report initial results obtained during the RANETA campaign on the Antarctic ice shelf. Data from two soundings of the ice-bed rock interface are analyzed, demonstrating the capability of the radar to disentangle echoes from different reflecting facets of the bed rock.</t>
  </si>
  <si>
    <t>IPSL, CETP, F-94100 St Maur, France; Inst Aeron Spatiale Belgique, BIRA, B-1180 Brussels, Belgium; Univ Limoges, IRCOM, F-87060 Limoges, France</t>
  </si>
  <si>
    <t>Universite Paris Cite; Universite de Limoges</t>
  </si>
  <si>
    <t>Berthelier, JJ (corresponding author), IPSL, CETP, 4 Ave Neptune, F-94100 St Maur, France.</t>
  </si>
  <si>
    <t>berthelier@cept.ipsl.fr</t>
  </si>
  <si>
    <t>reineix, alain/N-9210-2014</t>
  </si>
  <si>
    <t>reineix, alain/0000-0002-9439-6258</t>
  </si>
  <si>
    <t>NOV 18</t>
  </si>
  <si>
    <t>L22305</t>
  </si>
  <si>
    <t>10.1029/2005GL024203</t>
  </si>
  <si>
    <t>988IH</t>
  </si>
  <si>
    <t>WOS:000233586500003</t>
  </si>
  <si>
    <t>Bréon, FM; O'Brien, DM; Spinhirne, JD</t>
  </si>
  <si>
    <t>Scattering layer statistics from space borne GLAS observations -: art. no. L22802</t>
  </si>
  <si>
    <t>GLOBAL OBSERVATIONS; CARBON BUDGET; CLOUD; CO2</t>
  </si>
  <si>
    <t>Cloud and aerosol layers detected by the space borne Geoscience Laser Altimeter System (GLAS) are used to derive statistics of clear and almost clear atmospheres, the latter defined to be those with some scattering material but total optical thickness less than 0.2. Such statistics are needed to evaluate the potential coverage of NASA's forthcoming Orbital Carbon Observatory. The global fraction of clear cases is approximately 15%, with large scale spatial structures similar to those found by passive sensors. The spatial distribution of almost clear cases is similar to that for clear, with global fraction approximately 20%. The mean altitude of optically thin scattering layers is generally below one kilometer, indicating that they are composed mostly of boundary layer aerosol rather than high altitude cloud. The spatial correlation function of clear cases is accurately reproduced by the analytical function F(d) = exp[-(d/d(0))(0.5)], where d(0) is a correlation scale length. Between 60N and 60S, d(0) shows little zonal variation, and its average value is 320 km. Over the Arctic d(0) falls to 250 km, but rises to 450 km over the Antarctic.</t>
  </si>
  <si>
    <t>CEA, DSM, LSCE, Lab Sci Climat &amp; Environm, F-91191 Gif Sur Yvette, France; Colorado State Univ, Dept Atmospher Sci, Ft Collins, CO 80523 USA; NASA, Goddard Space Flight Ctr, Greenbelt, MD 20771 USA</t>
  </si>
  <si>
    <t>Universite Paris Saclay; CEA; Centre National de la Recherche Scientifique (CNRS); Colorado State University; National Aeronautics &amp; Space Administration (NASA); NASA Goddard Space Flight Center</t>
  </si>
  <si>
    <t>CEA, DSM, LSCE, Lab Sci Climat &amp; Environm, F-91191 Gif Sur Yvette, France.</t>
  </si>
  <si>
    <t>fmbreon@cea.fr</t>
  </si>
  <si>
    <t>Spinhirne, James D/D-2541-2011; Breon, Francois-Marie A/M-4639-2016; Velazco, Voltaire A/H-2280-2011; Notholt, Justus/P-4520-2016</t>
  </si>
  <si>
    <t>Velazco, Voltaire A/0000-0002-1376-438X;</t>
  </si>
  <si>
    <t>L22802</t>
  </si>
  <si>
    <t>10.1029/2005GL023825</t>
  </si>
  <si>
    <t>Bronze, Green Submitted, Green Published</t>
  </si>
  <si>
    <t>WOS:000233586500001</t>
  </si>
  <si>
    <t>Cofaigh, CO; Larter, RD; Dowdeswell, JA; Hillenbrand, CD; Pudsey, CJ; Evans, J; Morris, P</t>
  </si>
  <si>
    <t>Flow of the West Antarctic Ice Sheet on the continental margin of the Bellingshausen Sea at the Last Glacial Maximum</t>
  </si>
  <si>
    <t>JOURNAL OF GEOPHYSICAL RESEARCH-SOLID EARTH</t>
  </si>
  <si>
    <t>TROUGH-MOUTH FANS; PLEISTOCENE-HOLOCENE RETREAT; SURFACE MASS-BALANCE; ROSS SEA; SUBGLACIAL BEDFORMS; DEBRIS FLOWS; STREAM; LEVEL; BENEATH; TILL</t>
  </si>
  <si>
    <t>Geophysical data show that during the last glaciation the West Antarctic Ice Sheet (WAIS) drained to the continental shelf edge of the Bellingshausen Sea through a cross-shelf bathymetric trough (Belgica Trough) as a grounded, fast flowing, ice stream. The drainage basin feeding this ice stream probably encompassed southwestern Palmer Land, parts of southern Alexander Island, and the Bryan Coast of Ellsworth Land, with an area exceeding 200,000 km(2). On the inner continental shelf, streamlined bedrock and drumlins mapped by swath bathymetry show that the ice stream was fed by convergent ice flow draining from Eltanin Bay and bays to the east, as well as by ice draining the southern part of the Antarctic Peninsula Ice Sheet through the Ronne Entrance. The presence of a paleoice stream in Belgica Trough is indicated by megascale glacial lineations formed in soft till and a trough mouth fan on the continental margin. Grounding zone wedges on the inner and midshelf record ice marginal stillstands during deglaciation and imply a staggered pattern of ice sheet retreat. These new data indicate an extensive WAIS at the Last Glacial Maximum (LGM) on the Bellingshausen Sea continental margin, which advanced to the shelf edge. In conjunction with ice sheet reconstructions from the Antarctic Peninsula and Pine Island Bay, this implies a regionally extensive ice sheet configuration during the LGM along the Antarctic Peninsula, Bellingshausen Sea, and Amundsen Sea margins, with fast flowing ice streams draining the WAIS and Antarctic Peninsula Ice Sheet to the continental shelf edge.</t>
  </si>
  <si>
    <t>Univ Durham, Dept Geog, Durham DH1 3LE, England; Univ Cambridge, Scott Polar Res Inst, Cambridge CB2 1ER, England; British Antarctic Survey, Cambridge CB3 0ET, England</t>
  </si>
  <si>
    <t>Durham University; University of Cambridge; UK Research &amp; Innovation (UKRI); Natural Environment Research Council (NERC); NERC British Antarctic Survey</t>
  </si>
  <si>
    <t>Univ Durham, Dept Geog, South Rd, Durham DH1 3LE, England.</t>
  </si>
  <si>
    <t>colm.o'cofaigh@durham.ac.uk</t>
  </si>
  <si>
    <t>Larter, Robert/0000-0002-8414-7389; Dowdeswell, Julian/0000-0003-1369-9482</t>
  </si>
  <si>
    <t>Natural Environment Research Council [NER/G/S/2002/00009, NE/B501171/1] Funding Source: researchfish</t>
  </si>
  <si>
    <t>2169-9313</t>
  </si>
  <si>
    <t>2169-9356</t>
  </si>
  <si>
    <t>J GEOPHYS RES-SOL EA</t>
  </si>
  <si>
    <t>J. Geophys. Res.-Solid Earth</t>
  </si>
  <si>
    <t>B11</t>
  </si>
  <si>
    <t>B11103</t>
  </si>
  <si>
    <t>10.1029/2005JB003619</t>
  </si>
  <si>
    <t>988IW</t>
  </si>
  <si>
    <t>Green Accepted, Green Published</t>
  </si>
  <si>
    <t>WOS:000233588500002</t>
  </si>
  <si>
    <t>Curtius, J; Weigel, R; Vössing, HJ; Wernli, H; Werner, A; Volk, CM; Konopka, P; Krebsbach, M; Schiller, C; Roiger, A; Schlager, H; Dreiling, V; Borrmann, S</t>
  </si>
  <si>
    <t>Observations of meteoric material and implications for aerosol nucleation in the winter Arctic lower stratosphere derived from in situ particle measurements</t>
  </si>
  <si>
    <t>BALLOON-BORNE MEASUREMENTS; SULFURIC-ACID VAPOR; CONDENSATION NUCLEI; SIZE DISTRIBUTIONS; POLAR VORTEX; UPPER TROPOSPHERE; ANTARCTIC OZONE; 41-DEGREES-N; AIRCRAFT; CLOUDS</t>
  </si>
  <si>
    <t>Number concentrations of total and non-volatile aerosol particles with size diameters &gt; 0.01 mu m as well as particle size distributions (0.4 - 23 mu m diameter) were measured in situ in the Arctic lower stratosphere ( 10 - 20.5 km altitude). The measurements were obtained during the campaigns European Polar Stratospheric Cloud and Lee Wave Experiment (EUPLEX) and Envisat-Arctic-Validation (EAV). The campaigns were based in Kiruna, Sweden, and took place from January to March 2003. Measurements were conducted onboard the Russian high-altitude research aircraft Geophysica using the low-pressure Condensation Nucleus Counter COPAS (COndensation PArticle Counter System) and a modified FSSP 300 ( Forward Scattering Spectrometer Probe). Around 18 - 20 km altitude typical total particle number concentrations n(t) range at 10 - 20 cm(-3) ( ambient conditions). Correlations with the trace gases nitrous oxide (N2O) and trichlorofluoromethane (CFC-11) are discussed. Inside the polar vortex the total number of particles &gt; 0.01 mu m increases with potential temperature while N2O is decreasing which indicates a source of particles in the above polar stratosphere or mesosphere. A separate channel of the COPAS instrument measures the fraction of aerosol particles non-volatile at 250 degrees C. Inside the polar vortex a much higher fraction of particles contained non-volatile residues than outside the vortex ( similar to 67% inside vortex, similar to 24% outside vortex). This is most likely due to a strongly increased fraction of meteoric material in the particles which is transported downward from the mesosphere inside the polar vortex. The high fraction of non-volatile residual particles gives therefore experimental evidence for downward transport of mesospheric air inside the polar vortex. It is also shown that the fraction of non-volatile residual particles serves directly as a suitable experimental vortex tracer. Nanometer-sized meteoric smoke particles may also serve as nuclei for the condensation of gaseous sulfuric acid and water in the polar vortex and these additional particles may be responsible for the increase in the observed particle concentration at low N2O. The number concentrations of particles &gt; 0.4 mu m measured with the FSSP decrease markedly inside the polar vortex with increasing potential temperature, also a consequence of subsidence of air from higher altitudes inside the vortex. Another focus of the analysis was put on the particle measurements in the lowermost stratosphere. For the total particle density relatively high number concentrations of several hundred particles per cm(3) at altitudes below similar to 14 km were observed in several flights. To investigate the origin of these high number concentrations we conducted air mass trajectory calculations and compared the particle measurements with other trace gas observations. The high number concentrations of total particles in the lowermost stratosphere are probably caused by transport of originally tropospheric air from lower latitudes and are potentially influenced by recent particle nucleation.</t>
  </si>
  <si>
    <t>Johannes Gutenberg Univ Mainz, Inst Atmospher Phys, D-55128 Mainz, Germany; Max Planck Inst Chem, D-55128 Mainz, Germany; Goethe Univ Frankfurt, Inst Meteorol, D-6000 Frankfurt, Germany; Res Ctr Julich, ICG 2, Julich, Germany; DLR, German Ctr Air &amp; Space, Inst Atmospher Phys, Oberpfaffenhofen, Germany; DLR, German Ctr Air &amp; Space, Flight Facil, Oberpfaffenhofen, Germany</t>
  </si>
  <si>
    <t>Johannes Gutenberg University of Mainz; Max Planck Society; Goethe University Frankfurt; Helmholtz Association; Research Center Julich; Helmholtz Association; German Aerospace Centre (DLR); Helmholtz Association; German Aerospace Centre (DLR)</t>
  </si>
  <si>
    <t>Johannes Gutenberg Univ Mainz, Inst Atmospher Phys, D-55128 Mainz, Germany.</t>
  </si>
  <si>
    <t>curtius@mail.uni-mainz.de</t>
  </si>
  <si>
    <t>Schiller, Cornelius/B-1004-2013; Konopka, Paul/A-7329-2013; Borrmann, Stephan/E-3868-2010; Curtius, Joachim/A-2681-2011; Wernli, Heini/F-1099-2016</t>
  </si>
  <si>
    <t>Konopka, Paul/0000-0002-5915-830X; Borrmann, Stephan/0000-0002-4774-9380; Curtius, Joachim/0000-0003-3153-4630; Weigel, Ralf/0000-0003-1316-0292; Wernli, Heini/0000-0001-9674-4837</t>
  </si>
  <si>
    <t>NOV 15</t>
  </si>
  <si>
    <t>10.5194/acp-5-3053-2005</t>
  </si>
  <si>
    <t>984PU</t>
  </si>
  <si>
    <t>Green Published, Green Submitted, Green Accepted, gold</t>
  </si>
  <si>
    <t>WOS:000233317600002</t>
  </si>
  <si>
    <t>Narcisi, B; Petit, JR; Delmonte, B; Basile-Doelsch, I; Maggi, V</t>
  </si>
  <si>
    <t>Characteristics and sources of tephra layers in the EPICA-Dome C ice record (East Antarctica): Implications for past atmospheric circulation and ice core stratigraphic correlations</t>
  </si>
  <si>
    <t>tephra; Antarctic ice cores; EPICA-Dome C ice core; stratigraphic correlation; palaeoatmospheric circulation</t>
  </si>
  <si>
    <t>TAUPO VOLCANIC ZONE; ASH LAYERS; GREENLAND; VOSTOK; ROCKS; VARIABILITY; GEOCHEMISTRY; EVOLUTION; PENINSULA; SEDIMENTS</t>
  </si>
  <si>
    <t>Thirteen discrete air-fall tephra layers were identified in the last 200,000-yr section of the EPICA-Dome C ice record drilled in the East Antarctic plateau (75 degrees 06'S, 123 degrees 21' E). Quantitative grain size, glass particle morphology, and the grain-discrete major element composition of the glass fraction of these layers were investigated. Through comparison with literature data on the rock composition of Quaternary volcanic centres located within and around Antarctica, five tephra layers were attributed to South Sandwich volcanoes in the South Atlantic Ocean, two to South Shetland volcanoes (northern Antarctic Peninsula), two to Andean volcanoes, and four to Antarctic (Marie Byrd Land and Melbourne) provinces. The abundance of layers originating in the southern part of the Atlantic confirms that westerly atmospheric circulation spiralling towards East Antarctica prevailed over the last 200 ka. Moreover, the record of events from Antarctic centres suggests that atmospheric trajectories from West to East Antarctica can also be significant. A few ash layers are geochemically distinct and appear equivalent to levels from Vostok and Dome Fuji deep ice records, located ca. 600 km and ca. 2000 km, respectively, from Dome C on the Antarctic plateau. These layers provide unambiguous markers for future correlation with other Antarctic ice cores and circumpolar marine climatic records. They also provide reliable constraints to get a common timescale by glaciological modelling, and represent a first step towards absolute ice core dating. (c) 2005 Published by Elsevier B.V.</t>
  </si>
  <si>
    <t>ENEA, CR Casaccia, I-00060 Rome, Italy; Lab Glaciol &amp; Geophys Environm, CNRS, Lab Glaciol &amp; Geophys Environm, F-38402 St Martin Dheres, France; Univ Milan, Dipartimento Sci Ambientali, I-20126 Milan, Italy; IRD Reunion, UR 161, F-97492 St Denis, France; Univ Aix Marseille 3, CNRS, CERERGE, UMR,IRD,Europe Arbois, F-13545 Aix En Provence, France</t>
  </si>
  <si>
    <t>Italian National Agency New Technical Energy &amp; Sustainable Economics Development; Centre National de la Recherche Scientifique (CNRS); University of Milan; Institut de Recherche pour le Developpement (IRD); Institut de Recherche pour le Developpement (IRD); Aix-Marseille Universite; Centre National de la Recherche Scientifique (CNRS)</t>
  </si>
  <si>
    <t>ENEA, CR Casaccia, Via Anguillarese 301, I-00060 Rome, Italy.</t>
  </si>
  <si>
    <t>narcisi@casaccia.enea.it</t>
  </si>
  <si>
    <t>Delmonte, Barbara/L-2555-2015; Maggi, Valter/E-1878-2014; Basile, Isabelle IBD/B-4173-2010; Maggi, Valter/AAX-5728-2020</t>
  </si>
  <si>
    <t>Delmonte, Barbara/0000-0002-9074-2061; Maggi, Valter/0000-0001-6287-1213</t>
  </si>
  <si>
    <t>10.1016/j.epsl.2005.09.005</t>
  </si>
  <si>
    <t>984SA</t>
  </si>
  <si>
    <t>WOS:000233323400006</t>
  </si>
  <si>
    <t>Engrand, C; McKeegan, KD; Leshin, LA; Herzog, GF; Schnabel, C; Nyquist, LE; Brownlee, DE</t>
  </si>
  <si>
    <t>Isotopic compositions of oxygen, iron, chromium, and nickel in cosmic spherules: Toward a better comprehension of atmospheric entry heating effects</t>
  </si>
  <si>
    <t>ELEMENTAL COMPOSITION; MG; MICROMETEORITES; FRACTIONATION; CHONDRITES; COLLECTION; ABUNDANCES; OLIVINE; BE-10; DUST</t>
  </si>
  <si>
    <t>Large, correlated, mass-dependent enrichments in the heavier isotopes of 0, Cr, Fe, and Ni are observed in type-I (metal/metal oxide) cosmic spherules collected from the deep sea. Limited intraparticle variability of oxygen isotope abundances, typically &lt; 5 parts per thousand in delta O-18, indicates good mixing of the melts and Supports the application of the Rayleigh equation for the calculation of fractional evaporative losses during atmospheric entry. Fractional losses for oxygen evaporation from wustite, assuming a starting isotopic composition equal to that of air (delta O-18 = 23.5 parts per thousand; delta O-17 = 11.8 parts per thousand), are in the range 55%-77%, and are systematically smaller than evaporative losses calculated for Fe (69%-85%), Cr (81%-95%), and especially Ni (45%-99%). However, as delta O-18 values increase, fractional losses for oxygen approach those of Fe, Cr, and Ni indicating a shift in the evaporating species from metallic to oxidized forms as the spherules are progressively oxidized during entry heating. The observed unequal fractional losses of 0 and Fe can be reconciled by allowing for a kinetic isotope mass-dependent fractionation of atmospheric oxygen during the oxidation process and/or that some metallic Fe may have undergone Rayleigh evaporation before oxidation began. In situ measurements of oxygen isotopic abundances were also performed in 14 type-S (silicate) cosmic spherules, 13 from the Antarctic ice and one from the deep sea. Additional bulk Fe and Cr isotopic abundances were determined for two type-S deep-sea spherules. The isotopic fractionation of Cr isotopes suggest appreciable evaporative loss of Cr, perhaps as a Sulfide. The oxygen isotopic compositions for the type-S spherules range from delta O-18 = -2 parts per thousand to + 27 parts per thousand. The intraspherule isotopic variations are typically small, similar to 5% relative, except for the less-heated porphyritic spherules which have preserved large isotopic heterogeneities in at least one case. A plot of delta O-17 VS. delta O-18 values for these spherules defines a broad parallelogram bounded at higher values of delta O-17 by the terrestrial fractionation line, and at lower values of delta O-17 by a line parallel to it and anchored near the isotopic composition of delta O-18 = -2.5 parts per thousand and delta O-17 = -5 parts per thousand. Lack of independent evidence for substantial evaporative losses suggests that much of this variation reflects the starting isotopic composition of the precursor materials, which likely resembled CO, CM, or CI chondrites. However, the enrichments in heavy isotopes indicate that some mixing with atmospheric oxygen was probably involved during atmospheric entry for some of the spherules. Isotopic fractionation due to evaporation of incoming grain is not required to explain most of the oxygen isotopic data for type-S spherules. However spherules with barred olivine textures that are thought to have experienced a more intense heating than the porphyritic ones might have undergone some distillation. Two cosmic spherules, one classified as a radial pyroxene type and the other showing a glassy texture, show unfractionated oxygen isotopic abundances. They are probably chondrule fragments that Survived atmospheric entry unmelted. Possible reasons type-I spherules show larger degrees of isotopic fractionation than type-S spherules include: a) the short duration of the heating pulse associated with the high volatile content of the type-S spherule precursors compared to type-I spherules; b) higher evaporation temperatures for at least a refractory portion of the silicates compared to that of iron metal or oxide; c) lower duration of heating of type-S spherules compared to type-I spherules as a consequence of their lower densities. Copyright (c) 2005 Elsevier Ltd.</t>
  </si>
  <si>
    <t>Univ Calif Los Angeles, Dept Earth &amp; Space Sci, Los Angeles, CA 90095 USA; Rutgers State Univ, Dept Chem &amp; Biol Chem, Piscataway, NJ 08854 USA; NASA, Lyndon B Johnson Space Ctr, Houston, TX 77058 USA; Univ Washington, Dept Astron, Seattle, WA 98195 USA</t>
  </si>
  <si>
    <t>University of California System; University of California Los Angeles; Rutgers University System; Rutgers University New Brunswick; National Aeronautics &amp; Space Administration (NASA); NASA Johnson Space Center; University of Washington; University of Washington Seattle</t>
  </si>
  <si>
    <t>Ctr Spectrometrie Nucl &amp; Spectrometrie Masse, Bat 104, F-91405 Orsay, France.</t>
  </si>
  <si>
    <t>engrand@csnsm.in2p3.fr</t>
  </si>
  <si>
    <t>McKeegan, Kevin/A-4107-2008</t>
  </si>
  <si>
    <t>McKeegan, Kevin/0000-0002-1827-729X</t>
  </si>
  <si>
    <t>10.1016/j.gca.2005.07.002</t>
  </si>
  <si>
    <t>999UZ</t>
  </si>
  <si>
    <t>WOS:000234417400014</t>
  </si>
  <si>
    <t>Sturm, K; Hoffmann, G; Langmann, B; Stichler, W</t>
  </si>
  <si>
    <t>Simulation of δ18O in precipitation by the regional circulation model REMOiso</t>
  </si>
  <si>
    <t>HYDROLOGICAL PROCESSES</t>
  </si>
  <si>
    <t>11th International Symposium on Isotope Hydrology and Integrated Water Resources Management</t>
  </si>
  <si>
    <t>MAY 19-23, 2003</t>
  </si>
  <si>
    <t>Vienna, AUSTRIA</t>
  </si>
  <si>
    <t>stable water isotopes; hydrological/water cycle; regional modelling</t>
  </si>
  <si>
    <t>ANTARCTIC PRECIPITATION; WATER ISOTOPES; O-18; TEMPERATURE; DEUTERIUM; CYCLES; BUDGET</t>
  </si>
  <si>
    <t>The first results of a regional circulation model REMOiso fitted with water isotope diagnostics are compared with various isotope series from central Europe. A 2 year case study is conducted from March 1997 to February 1999 centred over Europe, analysing daily and monthly measurements. Isotope signals over Europe are dominated by the typical isotopic effects such as temperature, continental and altitude effects, both on annual and seasonal scales. These well-known isotopic effects are successfully reproduced by REMOiso, using two different boundary data sets. In a first simulation, the European Centre for Medium-range Weather Forecasts (ECMWF) analyses serve as boundary conditions, where water isotopes were parameterized by a simple temperature dependence. In a second simulation, boundary conditions both for climatic and isotopic variables are taken from the ECHAM(iso) general circulation model output. The comparison of both simulations shows a very high sensitivity of the simulated delta(18)O signal to boundary conditions. The ECMWF-nested simulation shows an average offset of -4.5% in mean delta(18)O values and exaggerated seasonal amplitude. The ECHAM-nested simulation represents correctly the observed mean delta(18)O values, although with a dampened seasonality. REMOiso isotope module is further validated against daily delta(18)O measurements at selected stations (Nordeney, Arkona and Hohenpeissenberg) situated in Germany. Copyright (c) 2005 John Wiley &amp; Sons, Ltd.</t>
  </si>
  <si>
    <t>Lab Glaciol &amp; Geophys Environm, F-38402 St Martin Dheres, France; Max Planck Inst Meteorol, Hamburg, Germany; GSF Forschungszentrum Umwelt &amp; Gesundheit, Neuherberg, Germany</t>
  </si>
  <si>
    <t>Max Planck Society; Helmholtz Association; Helmholtz-Center Munich - German Research Center for Environmental Health</t>
  </si>
  <si>
    <t>Sturm, K (corresponding author), Lab Glaciol &amp; Geophys Environm, BP 96, F-38402 St Martin Dheres, France.</t>
  </si>
  <si>
    <t>sturm@lgge.obs.ujf-grenoble.fr</t>
  </si>
  <si>
    <t>Sturm, Christophe/C-3055-2012; Sturm, Christophe/AAW-9525-2021</t>
  </si>
  <si>
    <t>0885-6087</t>
  </si>
  <si>
    <t>HYDROL PROCESS</t>
  </si>
  <si>
    <t>Hydrol. Process.</t>
  </si>
  <si>
    <t>10.1002/hyp.5979</t>
  </si>
  <si>
    <t>987IN</t>
  </si>
  <si>
    <t>WOS:000233511700012</t>
  </si>
  <si>
    <t>Chmel, A; Smirnov, VN; Astakhov, MP</t>
  </si>
  <si>
    <t>The Arctic sea-ice cover: Fractal space-time domain</t>
  </si>
  <si>
    <t>PHYSICA A-STATISTICAL MECHANICS AND ITS APPLICATIONS</t>
  </si>
  <si>
    <t>sea-ice cover; space-time correlation; energy conservation; self-organized criticality</t>
  </si>
  <si>
    <t>SELF-ORGANIZED CRITICALITY; EARTHQUAKES; MODEL</t>
  </si>
  <si>
    <t>The temporal characteristics of the sea-ice motion were analyzed using the GPS-monitoring carried out during a drift of the ice camp North Pole 32 in 2003. The detected accelerations of the ice field were found to be correlated in time. The energy release due to impact interactions between ice fields is distributed in accordance with a power law function. A relatively high value of its exponent (b similar or equal to 1.3) as compared to similar b-value for earthquakes (b similar or equal to 0.9) signalizes a high level of conservation in the sea-ice cover system and, correspondingly, low localization of spontaneous fracture events. The field observations were supplemented with the study of ice-cover fragmentation using the remote technique. The analysis of satellite images confirmed the uniform character of fracture at various scale levels and fractal geometry of crack-and-lead pattern. The spatial fractal dimension is not universal: it responses to the large-scale perturbations in sea-ice cover accompanied with the change of energy conservation. The shown time and length invariance in this permanently fracturing-restoring structure characterizes the Arctic sea-ice cover as a self-organized criticality system. (c) 2005 Elsevier B.V. All rights reserved.</t>
  </si>
  <si>
    <t>Russian Acad Sci, Ioffe Physicotech Inst, Fracture Phys Dept, St Petersburg 194021, Russia; Arctic &amp; Antarctic Res Inst, St Petersburg 199397, Russia</t>
  </si>
  <si>
    <t>Russian Academy of Sciences; St. Petersburg Scientific Centre of the Russian Academy of Sciences; Ioffe Physical Technical Institute; Arctic &amp; Antarctic Research Institute</t>
  </si>
  <si>
    <t>Chmel, A (corresponding author), Russian Acad Sci, Ioffe Physicotech Inst, Fracture Phys Dept, St Petersburg 194021, Russia.</t>
  </si>
  <si>
    <t>chmel@mail.ioffe.ru</t>
  </si>
  <si>
    <t>0378-4371</t>
  </si>
  <si>
    <t>1873-2119</t>
  </si>
  <si>
    <t>PHYSICA A</t>
  </si>
  <si>
    <t>Physica A</t>
  </si>
  <si>
    <t>10.1016/j.physa.2005.04.009</t>
  </si>
  <si>
    <t>Physics, Multidisciplinary</t>
  </si>
  <si>
    <t>969LO</t>
  </si>
  <si>
    <t>WOS:000232235900017</t>
  </si>
  <si>
    <t>Shepherd, LD; Millar, CD; Ballard, G; Ainley, DG; Wilson, PR; Haynes, GD; Baroni, C; Lambert, DM</t>
  </si>
  <si>
    <t>Microevolution and mega-icebergs in the Antarctic</t>
  </si>
  <si>
    <t>PROCEEDINGS OF THE NATIONAL ACADEMY OF SCIENCES OF THE UNITED STATES OF AMERICA</t>
  </si>
  <si>
    <t>microsatellites; Adelie penguins; ancient DNA</t>
  </si>
  <si>
    <t>GENETIC DIFFERENTIATION; AGE CALIBRATION; ANCIENT DNA; POPULATION; SAMPLES; AMPLIFICATION; EVOLUTION; BONE; LOCI; ICE</t>
  </si>
  <si>
    <t>Microevolution is regarded as changes in the frequencies of genes in populations over time. Ancient DNA technology now provides an opportunity to demonstrate evolution over a geological time frame and to possibly identify the causal factors in any such evolutionary event. Using nine nuclear microsatellite DNA loci, we genotyped an ancient population of Adelie penguins (Pygoscelis adeliae) aged approximate to 6,000 years B.P. Subfossil bones from this population were excavated by using an accurate stratigraphic method that allowed the identification of individuals even within the same layer. We compared the allele frequencies in the ancient population with those recorded from the modern population at the same site in Antarctica. We report significant changes in the frequencies of alleles between these two time points, hence demonstrating microevolutionary change. This study demonstrates a nuclear gene-frequency change over such a geological time frame. We discuss the possible causes of such a change, including the role of mutation, genetic drift, and the effects of gene mixing among different penguin populations. The latter is likely to be precipitated by mega-icebergs that act to promote migration among penguin colonies that typically show strong natal return.</t>
  </si>
  <si>
    <t>Massey Univ, Inst Mol Biosci, Allan Wilson Ctr Mol Ecol &amp; Evolut, NSMC, Auckland, New Zealand; Univ Auckland, Sch Biol Sci, Allan Wilson Ctr Mol Ecol &amp; Evolut, Auckland 1, New Zealand; Point Reyes Bird Observ Conservat Sci, Stinson Beach, CA 94970 USA; HT Harvey &amp; Associates, San Jose, CA 95118 USA; LandCare Res New Zealand Ltd, Nelson, New Caledonia; Univ Pisa, Dipartimento Sci Terra, I-56126 Pisa, Italy; CNR, Inst Geosci &amp; Earth Resources, I-56126 Pisa, Italy</t>
  </si>
  <si>
    <t>Massey University; University of Auckland; Massey University; University of Pisa; Consiglio Nazionale delle Ricerche (CNR); Istituto di Geoscienze e Georisorse (IGG-CNR)</t>
  </si>
  <si>
    <t>Massey Univ, Inst Mol Biosci, Allan Wilson Ctr Mol Ecol &amp; Evolut, NSMC, Private Bag 102904, Auckland, New Zealand.</t>
  </si>
  <si>
    <t>d.m.lambert@massey.ac.nz</t>
  </si>
  <si>
    <t>Baroni, Carlo/D-8184-2012; Shepherd, Lara D/E-6663-2011</t>
  </si>
  <si>
    <t>Baroni, Carlo/0000-0001-5905-4650; Shepherd, Lara/0000-0002-7136-0017; Lambert, David/0000-0002-5821-3637</t>
  </si>
  <si>
    <t>NATL ACAD SCIENCES</t>
  </si>
  <si>
    <t>2101 CONSTITUTION AVE NW, WASHINGTON, DC 20418 USA</t>
  </si>
  <si>
    <t>0027-8424</t>
  </si>
  <si>
    <t>P NATL ACAD SCI USA</t>
  </si>
  <si>
    <t>Proc. Natl. Acad. Sci. U. S. A.</t>
  </si>
  <si>
    <t>10.1073/pnas.0502281102</t>
  </si>
  <si>
    <t>986PT</t>
  </si>
  <si>
    <t>WOS:000233462900036</t>
  </si>
  <si>
    <t>Rose, MC; Clilverd, MA; Jarvis, MJ; Rodwell, S</t>
  </si>
  <si>
    <t>Polar mesosphere summer echo detection using a dynasonde</t>
  </si>
  <si>
    <t>RADIO SCIENCE</t>
  </si>
  <si>
    <t>POKER-FLAT; MST RADAR; ANTARCTICA; PMSE; TURBULENCE; ALASKA; HALLEY; MHZ</t>
  </si>
  <si>
    <t>We describe a new polar mesosphere summer echo (PMSE) radar system implementation that uses a snow-buried antenna operated with the dynasonde at Halley, Antarctica (76 degrees S), the highest southern latitude at which any PMSE measurements have been made to date. Two 100 m(2) coaxial-collinear antenna arrays were built so that the antenna beams were colocated at 85 km altitude. Operations in PMSE mode began on 20 January 2004, close to the maximum operational frequency of the system at 28 MHz. PMSE signals were observed at the end of the Antarctic summer season in 2004 and subsequently during the austral summer of 2004/2005 at similar altitudes to PMSE observed in the Northern Hemisphere. We compare the sensitivity of the system to the well-known mesosphere-stratosphere-troposphere radar at Poker Flat (65 degrees N, 147 degrees W, 50 MHz) and calculate a volume reflectivity at 28 MHz of eta = 2.9 x 10(-1)1 m(-1), which is consistent with that determined from Northern Hemisphere radar systems operating at higher frequencies.</t>
  </si>
  <si>
    <t>British Antarctic Survey, Div Phys Sci, Cambridge CB3 0ET, England</t>
  </si>
  <si>
    <t>Rose, MC (corresponding author), British Antarctic Survey, Div Phys Sci, Madingley Rd, Cambridge CB3 0ET, England.</t>
  </si>
  <si>
    <t>m.rose@bas.ac.uk; m.clilverd@bas.ac.uk; m.jarvis@bas.ac.uk; s.rodwell@bas.ac.uk</t>
  </si>
  <si>
    <t>0048-6604</t>
  </si>
  <si>
    <t>RADIO SCI</t>
  </si>
  <si>
    <t>Radio Sci.</t>
  </si>
  <si>
    <t>RS6003</t>
  </si>
  <si>
    <t>10.1029/2005RS003249</t>
  </si>
  <si>
    <t>Astronomy &amp; Astrophysics; Geochemistry &amp; Geophysics; Meteorology &amp; Atmospheric Sciences; Remote Sensing; Telecommunications</t>
  </si>
  <si>
    <t>988JA</t>
  </si>
  <si>
    <t>WOS:000233589100004</t>
  </si>
  <si>
    <t>Solomon, S; Portmann, RW; Sasaki, T; Hofmann, DJ; Thompson, DWJ</t>
  </si>
  <si>
    <t>Four decades of ozonesonde measurements over Antarctica</t>
  </si>
  <si>
    <t>HEMISPHERE CLIMATE-CHANGE; SOUTHERN-HEMISPHERE; VOLCANIC AEROSOL; MCMURDO STATION; DYNAMICAL CHANGES; POLAR VORTEX; DEPLETION; PINATUBO; HOLE; STRATOSPHERE</t>
  </si>
  <si>
    <t>Ozonesonde observations from Syowa and the South Pole over more than 40 years are described and intercompared. Observations from the two sites reveal remarkable agreement, supporting and extending the understanding gained from either individually. Both sites exhibit extensive Antarctic ozone losses in a relatively narrow altitude range from about 12 to 24 km in October, and the data are consistent with temperature-dependent chemistry involving chlorine on polar stratospheric clouds as the cause of the ozone hole. The maximum October ozone losses at higher altitudes near 18 km (70 hPa) appear to be transported to lower levels near the tropopause on a timescale of a few months, which is likely to affect the timing of the effects of ozone depletion on possible tropospheric climate changes. Both sites also show greater ozone losses in the lowermost stratosphere after the volcanic eruption of Mt. Pinatubo, supporting the view that surface chemistry can be enhanced by volcanic perturbations and that the very deep ozone holes observed in the early 1990s reflected such enhancements. Sparse data from the Syowa station in the early 1980s also suggest that enhanced ozone losses due to the El Chichon eruption may have contributed to the beginning of a measurable ozone hole. Observations at both locations show that some ozone depletion now occurs during much if not all year at lower altitudes near 12-14 km. Correlations between temperature and ozone provide new insights into ozone losses, including its nonlinear character, maximum effectiveness, and utility as a tool to distinguish dynamical effects from chemical processes. These data also show that recent changes in ozone do not yet indicate ozone recovery linked to changing chlorine abundances but provide new tools to probe observations for the first such future signals.</t>
  </si>
  <si>
    <t>NOAA, Aeron Lab, Boulder, CO 80305 USA; Japan Meteorol Agcy, Tokyo 1008122, Japan; NOAA, Climate Monitoring &amp; Diagnost Lab, Boulder, CO 80305 USA; Colorado State Univ, Dept Atmospher Sci, Ft Collins, CO 80523 USA</t>
  </si>
  <si>
    <t>National Oceanic Atmospheric Admin (NOAA) - USA; Japan Meteorological Agency; National Oceanic Atmospheric Admin (NOAA) - USA; Colorado State University</t>
  </si>
  <si>
    <t>NOAA, Aeron Lab, Boulder, CO 80305 USA.</t>
  </si>
  <si>
    <t>ssolomon@al.noaa.gov</t>
  </si>
  <si>
    <t>Thompson, David W J/F-9627-2012; Portmann, Robert W/C-4903-2009; Thompson, David/C-3520-2008</t>
  </si>
  <si>
    <t>Thompson, David W J/0000-0002-5413-4376; Portmann, Robert W/0000-0002-0279-6087;</t>
  </si>
  <si>
    <t>NOV 12</t>
  </si>
  <si>
    <t>D21</t>
  </si>
  <si>
    <t>D21311</t>
  </si>
  <si>
    <t>10.1029/2005JD005917</t>
  </si>
  <si>
    <t>985DG</t>
  </si>
  <si>
    <t>WOS:000233355700005</t>
  </si>
  <si>
    <t>Hughes, CW</t>
  </si>
  <si>
    <t>Nonlinear vorticity balance of the Antarctic Circumpolar Current</t>
  </si>
  <si>
    <t>GENERAL-CIRCULATION MODEL; GRAVEST EMPIRICAL MODE; SOUTHERN-OCEAN; MOMENTUM BALANCE; STRATIFIED OCEAN; SPIN-UP; VARIABILITY; TOPOGRAPHY; FEATURES</t>
  </si>
  <si>
    <t>[1] Using a recently published global ocean mean surface dynamic topography, based predominantly on drifter data, the near-surface vorticity balance of the Antarctic Circumpolar Current (ACC) is calculated. With a little smoothing, the dynamic topography is found to produce good estimates of even such highly differentiated quantities as the relative vorticity advection. Two clear modes of flow are found in the ACC: meanders of wavelength 300 - 500 km, in which the nonlinear term is important, resulting in a balance between advection of relative and planetary vorticity, as in a stationary equivalent-barotropic Rossby wave ( this implies a surface divergence which is at least partly balanced by an opposite divergence at depth); and a flow with divergence associated with topographic features. It is tentatively concluded that the divergence of this latter flow is a scaled measure of bottom pressure torque. The inferred bottom pressure torque shows large-scale topographic interactions, as well as a strong influence of some sharp topographic features such as the fracture zones and Macquarie ridge system south of the Tasman Sea, and the narrow ridges in Drake Passage.</t>
  </si>
  <si>
    <t>Proudman Oceanog Lab, Liverpool L3 5DA, Merseyside, England</t>
  </si>
  <si>
    <t>NERC National Oceanography Centre</t>
  </si>
  <si>
    <t>Proudman Oceanog Lab, Joseph Proudman Bldg,6 Brownlow St, Liverpool L3 5DA, Merseyside, England.</t>
  </si>
  <si>
    <t>cwh@pol.ac.uk</t>
  </si>
  <si>
    <t>Hughes, Chris W/A-3791-2010; Hughes, Chris/GQP-7479-2022</t>
  </si>
  <si>
    <t>Hughes, Chris W/0000-0002-9355-0233;</t>
  </si>
  <si>
    <t>C11</t>
  </si>
  <si>
    <t>C11008</t>
  </si>
  <si>
    <t>10.1029/2004JC002753</t>
  </si>
  <si>
    <t>985DQ</t>
  </si>
  <si>
    <t>WOS:000233356700002</t>
  </si>
  <si>
    <t>Baldwin, AJ; Moss, JA; Pakulski, JD; Catala, P; Joux, F; Jeffrey, WH</t>
  </si>
  <si>
    <t>Microbial diversity in a Pacific Ocean transect from the Arctic to Antarctic circles</t>
  </si>
  <si>
    <t>AQUATIC MICROBIAL ECOLOGY</t>
  </si>
  <si>
    <t>microbial diversity; Pacific Ocean; T-RFLP; 16S rDNA; 18S rDNA; biogeographical distribution</t>
  </si>
  <si>
    <t>RIBOSOMAL-RNA GENES; T-RFLP ANALYSIS; PHYLOGENETIC DIVERSITY; 18S RDNA; PICOPLANKTON; COMMUNITIES; ASSEMBLAGES; POPULATIONS; DISPERSAL; SEQUENCES</t>
  </si>
  <si>
    <t>Microbial diversity in surface waters was examined along a similar to 15 400 km transect of the Pacific Ocean from 70 degrees N to 68 degrees S latitude between late August and early November 2003. Comparative microbial diversity was determined using terminal restriction fragment length polymorphism (T-RFLP) analysis of PCR amplified 16S and 18S rDNA restriction digested with CfoI and MspI. Bacterial numbers and total chlorophyll were greatest at higher latitudes in both hemispheres, with a smaller peak in equatorial waters. Flow cytometry analysis indicated a strong peak in Prochlorococcus from approximately 30 degrees N to 30 degrees S. Richness at each station was relatively low, with similar to 11 prokaryotic peaks per sample and similar to 12 eukaryotic peaks per community. Overall, prokaryotic populations appeared more diverse, with 181 total terminal restriction fragments (T-RFs) generated, while eukaryotic populations produced a total of 135 T-RFs. Prokaryotic and eukaryotic similarity dendrograms revealed 4 distinct cluster groups relating to regions sub-Arctic/Arctic, temperate, tropical and sub-Antarctic/Antarctic. T-RFLP patterns suggest that microbial communities may be influenced by ambient water temperature, with mid-latitudinal and equatorial communities more similar in composition to each other than to cold water communities. Global distribution of prokaryotic communities revealed an average inter-group similarity of similar to 52 %, while eukaryotic communities showed similar to 51 % similarity, implying that Pacific planktonic communities appear to be fairly homogenous in composition. Several T-RFs were ubiquitously distributed and contributed significantly to each cluster group, while several T-RFs were observed to be endemic to particular oceanic regions. Within-group similarities of &gt;70 % were attributed to 12-14 T-RFs and 8-11 T-RFs in prokaryotic and eukaryotic profiles, respectively, suggesting that a small number of phylogenetic groups were responsible for each cluster group.</t>
  </si>
  <si>
    <t>Univ W Florida, Ctr Environm Diagnost &amp; Bioremediat, Pensacola, FL 32514 USA; Univ Paris 06, Observ Oceanol Banyuls, Lab Oceanog Biol, CNRS,UMR 7621, F-66651 Banyuls sur Mer, France</t>
  </si>
  <si>
    <t>State University System of Florida; University of West Florida; Centre National de la Recherche Scientifique (CNRS); CNRS - National Institute for Earth Sciences &amp; Astronomy (INSU); Sorbonne Universite</t>
  </si>
  <si>
    <t>Univ W Florida, Ctr Environm Diagnost &amp; Bioremediat, Bldg 58,11000 Univ Pkwy, Pensacola, FL 32514 USA.</t>
  </si>
  <si>
    <t>wjeffrey@uwf.edu</t>
  </si>
  <si>
    <t>Joux, Fabien/F-8107-2010</t>
  </si>
  <si>
    <t>Joux, Fabien/0000-0001-8089-2771</t>
  </si>
  <si>
    <t>0948-3055</t>
  </si>
  <si>
    <t>1616-1564</t>
  </si>
  <si>
    <t>AQUAT MICROB ECOL</t>
  </si>
  <si>
    <t>Aquat. Microb. Ecol.</t>
  </si>
  <si>
    <t>NOV 11</t>
  </si>
  <si>
    <t>10.3354/ame041091</t>
  </si>
  <si>
    <t>Ecology; Marine &amp; Freshwater Biology; Microbiology</t>
  </si>
  <si>
    <t>Environmental Sciences &amp; Ecology; Marine &amp; Freshwater Biology; Microbiology</t>
  </si>
  <si>
    <t>989TE</t>
  </si>
  <si>
    <t>WOS:000233696000009</t>
  </si>
  <si>
    <t>De Lauretis, M; Francia, P; Vellante, M; Piancatelli, A; Villante, U; Di Memmo, D</t>
  </si>
  <si>
    <t>ULF geomagnetic pulsations in the southern polar cap: Simultaneous measurements near the cusp and the geomagnetic pole</t>
  </si>
  <si>
    <t>JOURNAL OF GEOPHYSICAL RESEARCH-SPACE PHYSICS</t>
  </si>
  <si>
    <t>SOLAR-WIND CONTROL; MAGNETIC PULSATIONS; ANTARCTICA; DEPENDENCE; LATITUDES; POWER; PC3; SIGNATURES; FREQUENCY; SPECTRA</t>
  </si>
  <si>
    <t>[1] During November 2003, a 1-week test campaign of ULF geomagnetic field measurements was conducted at the new Italian/ French base of Concordia ( Dome C, Antarctic plateau), close to the geomagnetic pole, at a corrected geomagnetic latitude of similar to 89 degrees S. An analysis of these measurements is presented, together with a comparison with simultaneous measurements conducted at the Italian Mario Zucchelli'' base, at Terra Nova Bay, also located in the polar cap, but at lower latitude (similar to 80 degrees S). The variable solar wind and interplanetary magnetic field conditions made it possible to monitor the Pc 3 - 4 ULF pulsation activity under different magnetospheric conditions. For quiet conditions, the pulsation power does not show evidence for a diurnal modulation at Dome C, while at Terra Nova Bay it maximizes around local magnetic noon. This result can be interpreted in terms of the different latitude of the two stations which might be linked to different magnetospheric regions: Dome C deep in the polar cap, and Terra Nova Bay approaching the cusp around noon. Conversely, during a strong geomagnetic storm, the wave activity at the two stations becomes very similar, and major ground manifestations are driven by strong solar wind pressure pulses. The clear dependence of the pulsation frequency with the interplanetary magnetic field strength suggests that upstream waves can be the source of pulsations not only at Terra Nova Bay but also at Dome C, in the deep polar cap. We also find a clear relationship between the pulsation power and the solar wind speed which is more pronounced at Dome C, where cusp-related phenomena are not present.</t>
  </si>
  <si>
    <t>Univ Aquila, Dipartimento Fis, I-60710 Laquila, Italy; Consorzio Area Ric Astrogeofis, Laquila, Italy</t>
  </si>
  <si>
    <t>Univ Aquila, Dipartimento Fis, Via Vetoio, I-60710 Laquila, Italy.</t>
  </si>
  <si>
    <t>marcello.delauretis@aquila.infn.it; patrizia.francia@aquila.infn.it; massimo.vellante@aquila.infn.it; andrea.pincatelli@aquila.infn.it; umberto.villante@aquila.infn.it; dimedavi@yahoo.com</t>
  </si>
  <si>
    <t>VELLANTE, Massimo/0000-0003-4628-366X; De Lauretis, Marcello/0000-0002-4088-5689; Villante, Umberto/0000-0002-3630-7958</t>
  </si>
  <si>
    <t>2169-9380</t>
  </si>
  <si>
    <t>2169-9402</t>
  </si>
  <si>
    <t>J GEOPHYS RES-SPACE</t>
  </si>
  <si>
    <t>J. Geophys. Res-Space Phys.</t>
  </si>
  <si>
    <t>A11</t>
  </si>
  <si>
    <t>A11204</t>
  </si>
  <si>
    <t>10.1029/2005JA011058</t>
  </si>
  <si>
    <t>985DT</t>
  </si>
  <si>
    <t>WOS:000233357100008</t>
  </si>
  <si>
    <t>Lyons, LR; Lee, DY; Thorne, RM; Horne, RB; Smith, AJ</t>
  </si>
  <si>
    <t>Solar wind-magnetosphere coupling leading to relativistic electron energization during high-speed streams</t>
  </si>
  <si>
    <t>WAVE-PARTICLE INTERACTIONS; OUTER RADIATION BELT; WHISTLER-MODE CHORUS; RESONANT DIFFUSION; GEOMAGNETIC STORMS; MAGNETIC STORMS; ACCELERATION; SUBSTORM; ENERGIES; ORBIT</t>
  </si>
  <si>
    <t>[1] Enhancements in relativistic electron fluxes in the outer radiation belt often occur following magnetic storms and have been suggested to result from resonant interactions with enhanced whistler-mode chorus emissions observed on the dawnside. Using observations during a period of persistent high-speed, corotating, solar wind streams, we investigate the aspects of solar wind-magnetosphere coupling that lead to these enhanced chorus emissions. We find that relativistic electron energization occurs in association with large-amplitude Alfven waves within the high-speed streams. These waves last for multiday periods and cause multiday intervals having intermittent periods of significantly enhanced convection. The enhanced convection periods are followed by repetitive substorm onsets caused by the Alfven wave related repetitive reductions in convection. We use these substorm onsets, identified using geosynchronous particles and midlatitude H components, as indicators of preceding periods of enhanced convection and of reductions in convection. We use ground-based chorus observations from the Halley station VLF/ ELF Logger Experiment (VELOX) instrument to indicate magnetospheric chorus intensities. These data give evidence that the periods of enhanced convection that precede substorm expansions lead to the enhanced dawnside chorus wave. We also see that the enhanced solar wind densities n(sw) ahead of high-speed streams are associated with significant energetic electron loss at geosynchronous orbit and that the subsequent flux increases appear to not begin until n(sw) drops below similar to 5 cm(-3) even if the solar wind speed increases earlier. The sequence of loss during the leading interval of high n(sw), followed by energization during high-speed streams, occurs whether or not the high n(sw) interval leads to a magnetic storm.</t>
  </si>
  <si>
    <t>Univ Calif Los Angeles, Dept Atmospher &amp; Ocean Sci, Los Angeles, CA 90095 USA; Chungbuk Natl Univ, Coll Nat Sci, Dept Astron &amp; Space Sci, Cheongju 361763, Chungbuk, South Korea; Chungbuk Natl Univ, Inst Basic Sci Res, Cheongju 361763, Chungbuk, South Korea; British Antarctic Survey, Cambridge CB3 0ET, England</t>
  </si>
  <si>
    <t>University of California System; University of California Los Angeles; Chungbuk National University; Chungbuk National University; UK Research &amp; Innovation (UKRI); Natural Environment Research Council (NERC); NERC British Antarctic Survey</t>
  </si>
  <si>
    <t>Univ Calif Los Angeles, Dept Atmospher &amp; Ocean Sci, Los Angeles, CA 90095 USA.</t>
  </si>
  <si>
    <t>larry@atmos.ucla.edu; dylee@chungbuk.ac.kr; rmt@atmos.ucla.edu; rh@bas.ac.uj; ajsm@bas.ac.uk</t>
  </si>
  <si>
    <t>Horne, Richard B/U-3764-2019</t>
  </si>
  <si>
    <t>Horne, Richard B/0000-0002-0412-6407</t>
  </si>
  <si>
    <t>A11202</t>
  </si>
  <si>
    <t>10.1029/2005JA011254</t>
  </si>
  <si>
    <t>WOS:000233357100017</t>
  </si>
  <si>
    <t>Ioka, K; Razzaque, S; Kobayashi, S; Mészáros, P</t>
  </si>
  <si>
    <t>TeV-PeV neutrinos from giant flares of magnetars and the case of SGR 1806-20</t>
  </si>
  <si>
    <t>ASTROPHYSICAL JOURNAL</t>
  </si>
  <si>
    <t>cosmic rays; gamma rays : bursts; gamma rays : theory; stars : individual (SGR 1806-20); stars : neutron</t>
  </si>
  <si>
    <t>GAMMA-RAY-BURSTS; ENERGY COSMIC-RAYS; MAGNETIZED NEUTRON-STARS; RADIATIVE MECHANISM; SGR 1806-20; PHOTOSPHERES; REPEATERS; FIREBALLS; SPECTRA; NEBULA</t>
  </si>
  <si>
    <t>We estimate the high-energy neutrino flux from the giant flare of SGR 1806 - 20 on 2004 December 27, which irradiated Earth with a gamma-ray flux similar to 10(4) times larger than the most luminous gamma-ray bursts (GRBs) ever detected. The Antarctic Cerenkov neutrino detector AMANDA was online during the flare and may either have detected high-energy neutrinos for the first time from a cosmic point source or put constraints on the flare mechanism of magnetars. If TeV neutrinos are detected, one would also expect detectable EeV cosmic rays and possibly TeV gamma-ray emission in coincidence.</t>
  </si>
  <si>
    <t>Penn State Univ, Dept Phys, University Pk, PA 16802 USA; Penn State Univ, Ctr Gravitat Wave Phys, Davey Lab 104, University Pk, PA 16802 USA; Penn State Univ, Dept Astron &amp; Astrophys, Davey Lab 104,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</si>
  <si>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</si>
  <si>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Ioka, K (corresponding author), Penn State Univ, Dept Phys, University Pk, PA 16802 USA.</t>
  </si>
  <si>
    <t>Ioka, Kunihito/0000-0002-3517-1956; Meszaros, Peter/0000-0002-4132-1746; Razzaque, Soebur/0000-0002-0130-2460</t>
  </si>
  <si>
    <t>0004-637X</t>
  </si>
  <si>
    <t>ASTROPHYS J</t>
  </si>
  <si>
    <t>Astrophys. J.</t>
  </si>
  <si>
    <t>NOV 10</t>
  </si>
  <si>
    <t>10.1086/466514</t>
  </si>
  <si>
    <t>983NK</t>
  </si>
  <si>
    <t>WOS:000233239000041</t>
  </si>
  <si>
    <t>Dastidar, PG; Persson, O</t>
  </si>
  <si>
    <t>Mapping the global structure of Antarctic research vis-a-vis Antarctic Treaty System</t>
  </si>
  <si>
    <t>Antarctic research; Antarctic Treaty System; global structure; scientometrics</t>
  </si>
  <si>
    <t>Dept Ocean Dev, New Delhi 110003, India; Umea Univ, Dept Sociol, SE-90187 Umea, Sweden</t>
  </si>
  <si>
    <t>Umea University</t>
  </si>
  <si>
    <t>Dept Ocean Dev, Block 9&amp;12,CGO Complex, New Delhi 110003, India.</t>
  </si>
  <si>
    <t>prabirgd11@rediffmail.com</t>
  </si>
  <si>
    <t>Lundgren, Maritha/A-8846-2011; Persson, Olle/A-8708-2011; Dastidar, Prabir G/A-4803-2014</t>
  </si>
  <si>
    <t>Dastidar, Prabir G/0000-0001-5871-6261</t>
  </si>
  <si>
    <t>985BR</t>
  </si>
  <si>
    <t>WOS:000233351600026</t>
  </si>
  <si>
    <t>Lee, C; Kim, YJ; Tanimoto, H; Bobrowski, N; Platt, U; Mori, T; Yamamoto, K; Hong, CS</t>
  </si>
  <si>
    <t>High ClO and ozone depletion observed in the plume of Sakurajima volcano, Japan</t>
  </si>
  <si>
    <t>ROTATIONAL RAMAN-SCATTERING; BRO CONCENTRATIONS; ANTARCTIC OZONE; BROMINE OXIDE; SPECTROSCOPY; DOAS; DESTRUCTION; TROPOSPHERE; CHLORINE</t>
  </si>
  <si>
    <t>Enhanced BrO and ClO in the boundary layer associated with ozone destruction have been observed over salt lakes, as well as in the polar boundary layer. Volcanic plumes are a major natural source of atmospheric trace gases, influencing the tropospheric and stratospheric trace gas budgets. Though a variety of volcanic gases have been investigated and BrO was found, there is still little information on other halogen oxides ( e. g. ClO) in volcanic plumes and the effects on atmospheric ozone. The current belief that volcanic plumes contain ClO has not been quantified to date. Here we report the successful remote measurement of significant amounts of ClO ( as well as BrO and SO2) in a volcanic plume from the Sakurajima volcano in Japan, using ground-based multi-axis differential optical absorption spectroscopy during May 2004. Additionally halogen-catalyzed local surface ozone depletion was observed in the vicinity of the volcano.</t>
  </si>
  <si>
    <t>GIST, Dept Environm Sci &amp; Engn, ADEMRC, Kwangju 500712, South Korea; Natl Inst Environm Studies, Div Atmospher Environm, Tsukuba, Ibaraki 3058506, Japan; Heidelberg Univ, Inst Environm Phys, D-69120 Heidelberg, Germany; Univ Tokyo, Grad Sch Sci, Earthquake Chem Lab, Bunkyo Ku, Tokyo 1130033, Japan; Kyoto Univ, DPRI, Sakurajima Volcanol Observ, Kagoshima 8911419, Japan</t>
  </si>
  <si>
    <t>Gwangju Institute of Science &amp; Technology (GIST); National Institute for Environmental Studies - Japan; Ruprecht Karls University Heidelberg; University of Tokyo; Kyoto University</t>
  </si>
  <si>
    <t>GIST, Dept Environm Sci &amp; Engn, ADEMRC, 1 Oryong Dong, Kwangju 500712, South Korea.</t>
  </si>
  <si>
    <t>yjkim@gist.ac.kr</t>
  </si>
  <si>
    <t>; Tanimoto, Hiroshi/E-6779-2010</t>
  </si>
  <si>
    <t>Mori, Toshiya/0000-0003-4570-0951; Tanimoto, Hiroshi/0000-0002-5424-9923</t>
  </si>
  <si>
    <t>L21809</t>
  </si>
  <si>
    <t>10.1029/2005GL023785</t>
  </si>
  <si>
    <t>985CQ</t>
  </si>
  <si>
    <t>WOS:000233354100002</t>
  </si>
  <si>
    <t>Liu, HX; Wang, L; Jezek, KC</t>
  </si>
  <si>
    <t>Wavelet-transform based edge detection approach to derivation of snowmelt onset, end and duration from satellite passive microwave measurements</t>
  </si>
  <si>
    <t>MELT EXTENT; RUNOFF; GLACIERS; SSM/I</t>
  </si>
  <si>
    <t>We developed a new method for deriving the onset date, end date, duration and spatial extent of snowmelt using satellite passive microwave measurements. Our method exploits the fact that apparent edges are present on the brightness temperature ( T-b) time series curve corresponding to sharp and abrupt melt-induced transitions of brightness temperature. Through a wavelet transform of daily Tb observations, our method identifies and tracks significant upward and downward edges on the Tb curves. Through variance analysis and bi-modal Gaussian curve fitting, an optimal edge strength threshold is statistically determined to differentiate real snowmelt edges from weak edges caused by noisy perturbations and other non-melt processes. Based on the principle of spatial autocorrelation, a neighbourhood operator is designed to detect and correct possible errors in the melt computations that are purely based on temporal analysis of individual Tb curves. We have implemented the method using C + + programming language and successfully applied it to Special Sensor Microwave/Imager (SSM/I) data collected in 2001-2002 over the Antarctic ice sheet. The computation results were evaluated through visual interpretation of brightness temperature time series and examination of historical near-surface air temperature records.</t>
  </si>
  <si>
    <t>Texas A&amp;M Univ, Dept Geog, College Stn, TX 77843 USA; Ohio State Univ, Byrd Polar Res Ctr, Columbus, OH 43210 USA</t>
  </si>
  <si>
    <t>Texas A&amp;M University System; Texas A&amp;M University College Station; University System of Ohio; Ohio State University</t>
  </si>
  <si>
    <t>Texas A&amp;M Univ, Dept Geog, College Stn, TX 77843 USA.</t>
  </si>
  <si>
    <t>liu@geog.tamu.edu</t>
  </si>
  <si>
    <t>10.1080/01431160500213342</t>
  </si>
  <si>
    <t>993MD</t>
  </si>
  <si>
    <t>WOS:000233957300002</t>
  </si>
  <si>
    <t>Stickley, CE; Pike, J; Leventer, A; Dunbar, R; Domack, EW; Brachfeld, S; Manley, P; McClennan, C</t>
  </si>
  <si>
    <t>Deglacial ocean and climate seasonality in laminated diatom sediments, Mac.Robertson Shelf, Antarctica</t>
  </si>
  <si>
    <t>PALAEOGEOGRAPHY PALAEOCLIMATOLOGY PALAEOECOLOGY</t>
  </si>
  <si>
    <t>deglaciation; diatoms; East Antarctic Margin; marine varves; sea-ice; seasonality</t>
  </si>
  <si>
    <t>MAC-ROBERTSON LAND; SEA-ICE; THALASSIOSIRA-ANTARCTICA; LAST DEGLACIATION; SURFACE SEDIMENTS; EAST ANTARCTICA; ROSS-SEA; PHYTOPLANKTON BLOOM; CONTINENTAL-SHELF; WATER MASSES</t>
  </si>
  <si>
    <t>The palaeoceanography and climate history of the East Antarctic Margin (EAM) are less well understood than those of West Antarctica. Yet, the EAM plays an important role in deep ocean circulation and the global ocean system and has likely done so in the past. Deglacial-age marine sediments from the EAM provide clues about its past role during this critical period of rapid climate change. Several deep basins across the EAM such as Iceberg Alley (similar to 67 degrees S, 63 degrees E) on the Mac.Robertson Shelf (MRS) accommodate thick marine sequences that archive the deglaciation in the form of diatom-rich, continuously laminated (varved) sediments. These laminated sediments are pristinely preserved and contain seasonal and long-term information on the cryospheric and palaeoceanographic changes associated with the rapid retreat of the glacial ice sheet across the MRS. We present results of microfabric analysis of the lower similar to 2 m of deglacial varves from jumbo piston core JPC43B (Iceberg Alley). Backscattered electron imagery (BSEI) of polished thin sections and scanning electron microscope secondary electron imagery (SEI) of lamina-parallel fracture surfaces are used to analyze the varves. One hundred and ninety-two laminations are investigated and their nature and temporal significance are discussed in terms of seasonal deposition and cyclicity of diatom species. Our high-resolution palaeodata record exceptionally high diatom production and silica flux associated with the retreat of the East Antarctic Ice Sheet, and seasonal sea-ice changes along the EAM. This information is invaluable for assessing cryospheric-oceanographic variation and, therefore, the local and regional response to this period of rapid climate change. Varves are made up of lamina couplets comprising (i) thickly laminated to thinly bedded orange/orange-brown very pure diatom ooze dominated by Hyalochaete Chaetoceros spp. vegetative cells and resting spores, and (ii) brown/blue-grey terrigenous angular quartz sand, silt and clay with an abundant mixed diatom flora. The colour variation between these two types of lamination is striking. Using floristic and textural information we interpret the diatom oozes as spring flux and the terrigenous laminae as summer flux. Each couplet pair represents one annual cycle and reflects seasonal changes in nutrient availability and stratification associated with the cyclical advance and retreat of seasonal sea-ice. The diatom oozes can reach up to similar to 7.5 cm in thickness indicating enormous silica flux to the sea floor associated with ice sheet retreat. (c) 2005 Elsevier B.V All rights reserved.</t>
  </si>
  <si>
    <t>Cardiff Univ, Sch Earth Ocean &amp; Planetary Sci, Cardiff CF10 3YE, Wales; Colgate Univ, Dept Geol, Hamilton, NY 13346 USA; Stanford Univ, Dept Geol &amp; Environm Sci, Stanford, CA 94305 USA; Hamilton Coll, Dept Geol, Clinton, NY 13323 USA; Montclair State Univ, Dept Earth &amp; Environm Studies, Montclair, NJ 07043 USA; Middlebury Coll, Dept Geol, Middlebury, VT 05753 USA</t>
  </si>
  <si>
    <t>Cardiff University; Colgate University; Stanford University; Hamilton College; Montclair State University</t>
  </si>
  <si>
    <t>Cardiff Univ, Sch Earth Ocean &amp; Planetary Sci, Pk Pl, Cardiff CF10 3YE, Wales.</t>
  </si>
  <si>
    <t>pikej@cf.ac.uk</t>
  </si>
  <si>
    <t>Pike, Jennifer/D-2589-2009</t>
  </si>
  <si>
    <t>Pike, Jennifer/0000-0001-9415-6003; Brachfeld, Stefanie/0000-0003-4612-2866; Dunbar, Robert/0000-0002-9728-5609; Leventer, Amy/0000-0001-9401-0987</t>
  </si>
  <si>
    <t>Natural Environment Research Council [NER/A/S/2001/01106] Funding Source: researchfish</t>
  </si>
  <si>
    <t>0031-0182</t>
  </si>
  <si>
    <t>1872-616X</t>
  </si>
  <si>
    <t>PALAEOGEOGR PALAEOCL</t>
  </si>
  <si>
    <t>Paleogeogr. Paleoclimatol. Paleoecol.</t>
  </si>
  <si>
    <t>10.1016/j.palaeo.2005.05.021</t>
  </si>
  <si>
    <t>Geography, Physical; Geosciences, Multidisciplinary; Paleontology</t>
  </si>
  <si>
    <t>Physical Geography; Geology; Paleontology</t>
  </si>
  <si>
    <t>984DN</t>
  </si>
  <si>
    <t>WOS:000233282800002</t>
  </si>
  <si>
    <t>Karpetchko, A; Kyrö, E; Knudsen, BM</t>
  </si>
  <si>
    <t>Arctic and Antarctic polar vortices 1957-2002 as seen from the ERA-40 reanalyses -: art. no. D21109</t>
  </si>
  <si>
    <t>SOUTHERN-HEMISPHERE; OZONE DEPLETION; INTERANNUAL VARIABILITY; STRATOSPHERIC VORTEX; WINTER STRATOSPHERE; POTENTIAL VORTICITY; CLIMATE-CHANGE; WAVE BREAKING; TEMPERATURE; CIRCULATION</t>
  </si>
  <si>
    <t>[1] We have studied the climatological structure, interannual variability and interrelationship of various characteristics of the Arctic and Antarctic stratospheric vortices at several isentropic levels on the basis of the ECMWF ERA-40 reanalysis ( 1957 - 2002). Because of suspect data in the presatellite period in the Southern Hemisphere, only data from 1979 onward are used to study the climatology of the Antarctic vortex. The climatological structure of the vortices in both hemispheres is mainly consistent with previous climatologies obtained from other data sets. A study of the interrelationship between the vortex characteristics suggests that in the Arctic a larger vortex is usually colder and stronger whereas in the Antarctic winter such a relationship is not established. It is found that the Arctic PSC area has increased during the 1958 - 2002 period, but, in contrast to earlier studies, no statistically significant trends in size, coldness or longevity of the Arctic lower-stratospheric vortex since 1979 are found. During the period 1979 - 2001 the Antarctic spring vortex has become stronger and colder, and it breaks up later. However, the Antarctic vortex cooling has not affected the October vortex area, which shows only little change for the same period. It is found that the area of the Antarctic vortex during late winter and spring depends on the planetary wave propagation to the stratosphere in the preceding period, whereas the corresponding relationship between these waves and the PSC area in October is destroyed by the trends in the PSC area.</t>
  </si>
  <si>
    <t>Finnish Meteorol Inst, Arctic Res Ctr, FIN-99600 Sodankyla, Finland; Danish Meteorol Inst, DK-2100 Copenhagen, Denmark</t>
  </si>
  <si>
    <t>Finnish Meteorological Institute; Danish Meteorological Institute DMI</t>
  </si>
  <si>
    <t>Karpetchko, A (corresponding author), Finnish Meteorol Inst, Arctic Res Ctr, Tahtelantie 62, FIN-99600 Sodankyla, Finland.</t>
  </si>
  <si>
    <t>alex.karpetchko@fmi.fi</t>
  </si>
  <si>
    <t>Karpechko, Alexey/JVN-9414-2024</t>
  </si>
  <si>
    <t>Karpechko, Alexey/0000-0003-0902-0414</t>
  </si>
  <si>
    <t>NOV 9</t>
  </si>
  <si>
    <t>D21109</t>
  </si>
  <si>
    <t>10.1029/2005JD006113</t>
  </si>
  <si>
    <t>985DD</t>
  </si>
  <si>
    <t>WOS:000233355400009</t>
  </si>
  <si>
    <t>Hibbins, RE; Shanklin, JD; Espy, PJ; Jarvis, MJ; Riggin, DM; Fritts, DC; Lübken, FJ</t>
  </si>
  <si>
    <t>Seasonal variations in the horizontal wind structure from 0-100 km above Rothera station, Antarctica (67°S, 68°W)</t>
  </si>
  <si>
    <t>MF RADAR OBSERVATIONS; LOWER THERMOSPHERE; MESOSPHERE/LOWER THERMOSPHERE; CANADA 43-DEGREES-N; PREVAILING WIND; METEOR RADARS; GRAVITY-WAVE; DYNAMICS; ATMOSPHERE; MIDDLE</t>
  </si>
  <si>
    <t>A medium frequency spaced-antenna radar has been operating at Rothera station, Antarctica (67 degrees S, 68 degrees W) for two periods, between 1997-1998 and since 2002, measuring winds in the mesosphere and lower thermosphere. In this paper monthly mean winds are derived and presented along with three years of radiosonde balloon data for comparison with the HWM-93 model atmosphere and other high latitude southern hemisphere sites. The observed meridional winds are slightly more northwards than those predicted by the model above 80 km in the winter months and below 80 km in summer. In addition, the altitude of the summer time zero crossing of the zonal winds above the westward jet is overestimated by the model by up to 8 km. These data are then merged with the wind climatology obtained from falling sphere measurements made during the PORTA campaign at Rothera in early 1998 and the HWM-93 model atmosphere to generate a complete zonal wind climatology between 0 and 100 km as a benchmark for future studies at Rothera. A westwards (eastwards) maximum of 44 ms(-1) at 67 km altitude occurs in mid December (62 ms(-1) at 37 km in mid July). The 0 ms(-1) wind contour reaches a maximum altitude of 90 km in mid November and a minimum altitude of 18 km in January extending into mid March at 75 km and early October at 76 km.</t>
  </si>
  <si>
    <t>British Antarctic Survey, Div Phys Sci, Cambridge CB3 0ET, England; Colorado Res Assoc, Boulder, CO 80301 USA; Leibniz Inst Atmospher Phys, D-18225 Kuhlungsborn, Germany</t>
  </si>
  <si>
    <t>UK Research &amp; Innovation (UKRI); Natural Environment Research Council (NERC); NERC British Antarctic Survey; Leibniz Institut fur Atmospharenphysik e.V. an der Universitat Rostock (IAP)</t>
  </si>
  <si>
    <t>British Antarctic Survey, Div Phys Sci, Madingley Rd, Cambridge CB3 0ET, England.</t>
  </si>
  <si>
    <t>rehi@bas.ac.uk</t>
  </si>
  <si>
    <t>Hibbins, Robert/0000-0002-6867-2255</t>
  </si>
  <si>
    <t>NOV 7</t>
  </si>
  <si>
    <t>10.5194/acp-5-2973-2005</t>
  </si>
  <si>
    <t>981YC</t>
  </si>
  <si>
    <t>gold, Green Published, Green Submitted, Green Accepted</t>
  </si>
  <si>
    <t>WOS:000233122900001</t>
  </si>
  <si>
    <t>Pucciarelli, S; Marziale, F; Di Giuseppe, G; Barchetta, S; Miceli, C</t>
  </si>
  <si>
    <t>Ribosomal cold-adaptation:: Characterization of the genes encoding the acidic ribosomal P0 and P2 proteins from the Antarctic ciliate Euplotes focardii</t>
  </si>
  <si>
    <t>psychrophilic organism; protist; protein flexibility; phylogenetic market</t>
  </si>
  <si>
    <t>FLEXIBILITY; EXPRESSION; EVOLUTION; FAMILY; DOMAIN; FISH</t>
  </si>
  <si>
    <t>Molecular adaptation at low temperature requires specificities represented mainly by modifications in the gene sequence and consequently in the protein primary structure. To characterize the Molecular mechanisms responsible for ribosome cold-adaptation, we compared the ribosomal P0 and P2 genes from the Antarctic ciliate Euplotes focardii with homologous genes from mesophilic organisms, including the ciliates Tetrahymena thermophilia and non cold-adapted Euplotes species. This analysis revealed the presence of non synonymous mutations unique to E. fiocardii. In the P0 protein the mutations produced amino acid substitutions that increased the molecular flexibility that may facilitate a conformational adjustment associated with the interaction with the GTPase center of the large subunit rRNA, and increased the hydrophobicity of the region involved in the interaction with P1/P2 heterodimer, probably to keep associated the ribosomal stalk in the cold. In the P2 protein the mutations produced amino acid substitutions that increased the N-terminus flexibility, which may facilitate interactions with PI protein in the formation of the heterodimer, and reduced the mobility of the C-terminus, to stabilize the stalk during ribosomal activity. Finally, P proteins appeared to be valid markers for investigating the phylogenetic origin of early eukaryotes. (c) 2005 Elsevier B.V. All rights reserved.</t>
  </si>
  <si>
    <t>Univ Camerino, Dipartimento Biol Mol Cellulare &amp; Anim, I-62032 Camerino, MC, Italy; Univ Pisa, Dipartimento Etol Ecol &amp; Evoluz, I-56126 Pisa, Italy</t>
  </si>
  <si>
    <t>University of Camerino; University of Pisa</t>
  </si>
  <si>
    <t>Univ Camerino, Dipartimento Biol Mol Cellulare &amp; Anim, Via F Camerini 2, I-62032 Camerino, MC, Italy.</t>
  </si>
  <si>
    <t>cristina.miceli@unicam.it</t>
  </si>
  <si>
    <t>Miceli, Cristina/0000-0002-7829-8471; Pucciarelli, Sandra/0000-0003-4178-2689; Di Giuseppe, Graziano/0000-0002-9999-7650</t>
  </si>
  <si>
    <t>10.1016/j.gene.2005.06.007</t>
  </si>
  <si>
    <t>981AD</t>
  </si>
  <si>
    <t>WOS:000233058400003</t>
  </si>
  <si>
    <t>Baran, JM; Cochran, JR; Carbotte, SM; Nedimovic, MR</t>
  </si>
  <si>
    <t>Variations in upper crustal structure due to variable mantle temperature along the Southeast Indian Ridge</t>
  </si>
  <si>
    <t>layer 2A; magma chambers; mid-ocean ridge processes; southeast Indian ridge; marine geology and geophysics : marine seismics (0935,7294); marine geology and geophysics : midocean ridge processes; marine geology and geophysics : seafloor morphology, geology, and geophysics</t>
  </si>
  <si>
    <t>EAST PACIFIC RISE; MID-ATLANTIC-RIDGE; AUSTRALIAN-ANTARCTIC DISCORDANCE; GALAPAGOS-SPREADING-CENTER; JUAN-DE-FUCA; MAGMA CHAMBER BENEATH; DEPTH POINT DATA; SEISMIC STRUCTURE; MIDOCEAN RIDGES; OCEANIC-CRUST</t>
  </si>
  <si>
    <t>There is a systematic variation in axial morphology and axial depth along the Southeast Indian Ridge (SEIR) with distance away from the Australian Antarctic Discordance, an area of cold uppermost mantle. Since spreading rate (72-76 mm/yr) and mantle geochemistry appear constant along this portion of the SEIR, the observed variations in axial morphology and axial depth are attributed to a gradient in mantle temperature. In this study, we report results from a multichannel seismic investigation of on-axis crustal structure along this portion of the SEIR. Three distinct forms of ridge crest morphology are found within our study area: axial highs, rifted axial highs, and shallow axial valleys. Axial highs have a shallow (similar to 1500 m below seafloor (bsf)) magma lens and a thin (similar to 300 m) layer 2A along the ridge crest. Rifted axial highs have a deeper (similar to 2100 m bsf) magma lens and thicker (similar to 450 m) layer 2A on-axis. Beneath shallow axial valleys, no magma lens is imaged, and layer 2A is thick (similar to 450 + m). There are step-like transitions in magma lens depth and layer 2A thickness with changes in morphology along the SEIR. The transitions between the different modes of axial morphology and shallow structure are abrupt, suggesting a threshold-type mechanism. Variations in crustal structure along the SEIR appear to be steady state, persisting for at least 1 m.y. Portions of segments in which a magma lens is found are characterized by lower relief abyssal hills on the ridge flank, shallower ridge flank depths, and at the location of along-axis Mantle Bouguer Anomaly (MBA) lows. The long-wavelength variation in ridge morphology along the SEIR from axial high segments to the west to axial valley segments to the east is linked to the regional gradient in mantle temperature. Superimposed on the long-wavelength trend are segment to segment variations that are related to the absolute motion of the SEIR to the northeast which influence mantle melt production and delivery to the ridge.</t>
  </si>
  <si>
    <t>Baran, JM (corresponding author), Columbia Univ, Lamont Doherty Earth Observ, 61 Route 9W, Palisades, NY 10964 USA.</t>
  </si>
  <si>
    <t>baran@ldeo.columbia.edu</t>
  </si>
  <si>
    <t>Nedimovic, Mladen/Q-6865-2019; Nedimovic, Mladen/B-8459-2009</t>
  </si>
  <si>
    <t>Nedimovic, Mladen/0000-0003-0327-5192</t>
  </si>
  <si>
    <t>NOV 4</t>
  </si>
  <si>
    <t>Q11002</t>
  </si>
  <si>
    <t>10.1029/2005GC000943</t>
  </si>
  <si>
    <t>982LB</t>
  </si>
  <si>
    <t>WOS:000233158700001</t>
  </si>
  <si>
    <t>Espy, PJ; Hibbins, RE; Riggin, DM; Fritts, DC</t>
  </si>
  <si>
    <t>Mesospheric planetary waves over Antarctica during 2002</t>
  </si>
  <si>
    <t>TIME-SERIES ANALYSIS; LOWER ATMOSPHERE; METEOR ECHOES; SUPERDARN; RADAR; TEMPERATURE; DYNAMICS; HALLEY; MIDDLE; MODEL</t>
  </si>
  <si>
    <t>Wind measurements from a series of atmospheric radars located around Antarctica have been used to characterize the mesospheric planetary-wave field during the winter of 2002. Combining winds from the medium-frequency (MF) radar at Rothera (68 degrees S, 68 degrees W) and the SuperDARN high-frequency meteor-wind radars at Halley (76 degrees S, 27 degrees W), Sanae (72 degrees S, 3 degrees W) and Syowa (69 degrees S, 40 degrees E) stations, we have been able to measure the period, wavenumber and propagation direction of the most prominent planetary waves. The results show that the planetary-wave field before the unusual stratospheric warming in 2002 was dominated by a very long-period (tau approximate to 43 days), westward and upward-propagating zonal planetary wavenumber 1. However, after the stratospheric warming events began in late winter, the character of the wave field changed and a shorter period (tau approximate to 14 days), westward, zonal wavenumber 1 became established. It would appear that the previously reported oscillations of the mesospheric hydroxyl airglow temperatures at Rothera and Halley, which were strongly anti-correlated to the meridional wind, were the result of these planetary waves.</t>
  </si>
  <si>
    <t>British Antarctic Survey, NERC, Div Phys Sci, Cambridge CB3 0ET, England; Colorado Res Associates, NW Res Associates, Boulder, CO 80301 USA</t>
  </si>
  <si>
    <t>UK Research &amp; Innovation (UKRI); Natural Environment Research Council (NERC); NERC British Antarctic Survey; NorthWest Research Associates</t>
  </si>
  <si>
    <t>British Antarctic Survey, NERC, Div Phys Sci, High Cross,Madingley Rd, Cambridge CB3 0ET, England.</t>
  </si>
  <si>
    <t>pje@bas.ac.uk</t>
  </si>
  <si>
    <t>L21804</t>
  </si>
  <si>
    <t>10.1029/2005GL023886</t>
  </si>
  <si>
    <t>982LL</t>
  </si>
  <si>
    <t>WOS:000233159800007</t>
  </si>
  <si>
    <t>Röckmann, T; Levin, I</t>
  </si>
  <si>
    <t>High-precision determination of the changing isotopic composition of atmospheric N2O from 1990 to 2002 -: art. no. D21304</t>
  </si>
  <si>
    <t>NITROUS-OXIDE; MASS-SPECTROMETRY; FRACTIONATION; RATIO; N-15; CONSTRAINTS; ENRICHMENT; EMISSIONS; ORIGIN; BUDGET</t>
  </si>
  <si>
    <t>High-precision nitrous oxide (N2O) concentration and isotope ratio measurements have been carried out on archived air samples from the Antarctic station Neumayer covering the period 1990-2002. The results show that the increase in the N2O mixing ratio over this period is accompanied by a significant decrease in the heavy isotope content. The temporal isotope trends amount to (-0.040 +/- 0.003)parts per thousand/yr for delta N-15 (the average of both nitrogen positions) and (-0.021 +/- 0.003)parts per thousand/yr for delta O-18. The individual trends for the terminal (position 1) and central (position 2) nitrogen atoms within the N2O molecule are (-0.064 +/- 0.016)parts per thousand/yr for (1)delta N-15 and (-0.014 +/- 0.016)%/yr for (2)delta N-15. The average N-15 and O-18 trends compare well with recent results from measurements on air extracted from polar firn and ice, confirming earlier estimates that isotopically depleted N2O, mainly from soil emissions, is responsible for a large fraction of the observed N2O increase in the atmosphere. The position-dependent N-15 determinations show a strong difference between the two positions. This is in disagreement with the firn and ice core data, which imply similar fractionations at both positions.</t>
  </si>
  <si>
    <t>Heidelberg Univ, Inst Umweltphys, D-69120 Heidelberg, Germany; Max Planck Inst Kernphys, D-69117 Heidelberg, Germany</t>
  </si>
  <si>
    <t>Ruprecht Karls University Heidelberg; Max Planck Society</t>
  </si>
  <si>
    <t>Univ Utrecht, Inst Marine &amp; Atmospher Res Utrecht, Princetonpl 5,POB 80-000, NL-3508 TA Utrecht, Netherlands.</t>
  </si>
  <si>
    <t>t.roeckmann@phys.uu.nl</t>
  </si>
  <si>
    <t>Rockmann, Thomas/F-4479-2015</t>
  </si>
  <si>
    <t>Rockmann, Thomas/0000-0002-6688-8968</t>
  </si>
  <si>
    <t>D21304</t>
  </si>
  <si>
    <t>10.1029/2005JD006066</t>
  </si>
  <si>
    <t>982LY</t>
  </si>
  <si>
    <t>WOS:000233161100003</t>
  </si>
  <si>
    <t>Zhou, Y; Varner, RK; Russo, RS; Wingenter, OW; Haase, KB; Talbot, R; Sive, BC</t>
  </si>
  <si>
    <t>Coastal water source of short-lived halocarbons in New England</t>
  </si>
  <si>
    <t>CHLORINATION BY-PRODUCTS; MARINE BOUNDARY-LAYER; SOUTH POLAR SEA; METHYL-IODIDE; WESTERN PACIFIC; ATLANTIC-OCEAN; ORGANIC-COMPOUNDS; PHOTOCHEMICAL PRODUCTION; NONMETHANE HYDROCARBONS; ANTARCTIC ATMOSPHERE</t>
  </si>
  <si>
    <t>Short-lived halocarbon tracers were used to investigate marine influences on air quality in a coastal region of New England. Atmospheric measurements made at the University of New Hampshire's Observing Station at Thompson Farm (TF) in Durham, New Hampshire, indicate that relatively large amounts of halocarbons are emitted from local estuarine and coastal oceanic regions. Bromine-containing halocarbons of interest in this work include bromoform (CHBr3) and dibromomethane (CH2Br2). The mean mixing ratios of CHBr3 and CH2Br2 from 11 January to 5 March 2002 were 2.6 pptv and 1.6 pptv, and from 1 June to 31 August 2002 mean mixing ratios were 5.9 pptv and 1.4 pptv, respectively. The mean mixing ratio of CHBr3 was not only highest during summer, but both CHBr3 and CH2Br2 exhibited large variability in their atmospheric mixing ratios during this season. We attribute the greater variability to increased production combined with faster atmospheric removal rates. Other seasonal characteristics of CHBr3 and CH2Br2 in the atmosphere, as well as the impact of local meteorology on their distributions at this coastal site, are discussed. Tetrachloroethene (C2Cl4) and trichloroethene (C2HCl3) were used to identify time periods influenced by urban emissions. Additionally, measurements of CHBr3, CH2Br2, C2Cl4, methyl iodide (CH3I), and ethyl iodide (C2H5I) were made at TF and five sites throughout the nearby Great Bay estuarine area between 18 and 19 August 2003. These measurements were used to elucidate the effect of the tidal cycle on the distributions of these gases. The mean mixing ratios of CHBr3, CH2Br2, CH3I, and C2H5I were similar to 82%, 46%, 14%, and 17% higher, respectively, near the coast compared to inland sites, providing evidence for a marine source of short-lived halocarbons at TF. Correlation between the tidal cycle and atmospheric concentrations of marine tracers on the night of 18 August 2003 showed that the highest values for the brominated species occurred similar to 2-3 hours after high tide. Emission fluxes of CHBr3, CH2Br2, CH3I, and C2H5I on this night were estimated to be 26 +/- 57, 4.7 +/- 5.4, 5.9 +/- 4.6, and 0.065 +/- 0.20 nmol m(-2) h(-1), respectively. Finally, the anthropogenic source strength of CHBr3 was calculated to determine its impact on atmospheric levels observed in this region. Although our results indicate that anthropogenic contributions could potentially range from 15 to 60% of the total dissolved CHBr3 in the Great Bay, based on the observed ratio of CH2Br2/CHBr3 and surface seawater measurements in the Gulf of Maine, it appears unlikely that anthropogenic activities are a significant source of CHBr3 in the region.</t>
  </si>
  <si>
    <t>Univ New Hampshire, Inst Study Earth Oceans &amp; Space, Climate Change Res Ctr, Durham, NH 03824 USA; New Mexico Inst Min &amp; Technol, Dept Chem, Socorro, NM 87001 USA</t>
  </si>
  <si>
    <t>University System Of New Hampshire; University of New Hampshire; New Mexico Institute of Mining Technology</t>
  </si>
  <si>
    <t>Zhou, Y (corresponding author), Univ New Hampshire, Inst Study Earth Oceans &amp; Space, Climate Change Res Ctr, Durham, NH 03824 USA.</t>
  </si>
  <si>
    <t>bcs@ccrc.sr.unh.edu</t>
  </si>
  <si>
    <t>Zhou, Yong/P-7939-2017; Sive, Barkley C/AHA-8335-2022; Zhou, Yong/G-1361-2010; Varner, Ruth/E-5371-2011</t>
  </si>
  <si>
    <t>Zhou, Yong/0000-0003-0096-7118; Sive, Barkley/0000-0003-0352-8807; Varner, Ruth/0000-0002-3571-6629</t>
  </si>
  <si>
    <t>NOV 3</t>
  </si>
  <si>
    <t>D21302</t>
  </si>
  <si>
    <t>10.1029/2004JD005603</t>
  </si>
  <si>
    <t>982LV</t>
  </si>
  <si>
    <t>WOS:000233160800001</t>
  </si>
  <si>
    <t>Church, JA; White, NJ; Arblaster, JM</t>
  </si>
  <si>
    <t>Significant decadal-scale impact of volcanic eruptions on sea level and ocean heat content</t>
  </si>
  <si>
    <t>20TH-CENTURY TEMPERATURE; CLIMATE SIMULATIONS; RISE</t>
  </si>
  <si>
    <t>Ocean thermal expansion contributes significantly to sea-level variability and rise(1). However, observed decadal variability in ocean heat content(2,3) and sea level(4) has not been reproduced well in climate models(5). Aerosols injected into the stratosphere during volcanic eruptions scatter incoming solar radiation, and cause a rapid cooling of the atmosphere(6,7) and a reduction in rainfall(6,8,9,) as well as other changes in the climate system(7). Here we use observations of ocean heat content(2,3) and a set of climate simulations to show that large volcanic eruptions result in rapid reductions in ocean heat content and global mean sea level. For the Mt Pinatubo eruption, we estimate a reduction in ocean heat content of about 3 x 10(22) J and a global sea-level fall of about 5 mm. Over the three years following such an eruption, we estimate a decrease in evaporation of up to 0.1 mm d(-1), comparable to observed changes in mean land precipitation(6,8,9). The recovery of sea level following the Mt Pinatubo eruption in 1991 explains about half of the difference between the long-termrate of sea-level rise(4) of 1.8 mm yr(-1) ( for 1950 - 2000), and the higher rate estimated for the more recent period where satellite altimeter data are available (1993 - 2000)(4,10).</t>
  </si>
  <si>
    <t>CSIRO Marine &amp; Atmospher Res, Hobart, Tas 7001, Australia; Antarctic Climate &amp; Ecosyst Cooperat Res Ctr, Hobart, Tas 7001, Australia; Natl Ctr Atmospher Res, Boulder, CO 80307 USA; Bur Meteorol Res Ctr, Melbourne, Vic 3001, Australia</t>
  </si>
  <si>
    <t>Commonwealth Scientific &amp; Industrial Research Organisation (CSIRO); Antarctic Climate &amp; Ecosystems Cooperative Research Centre (ACE CRC); National Center Atmospheric Research (NCAR) - USA; Bureau of Meteorology - Australia</t>
  </si>
  <si>
    <t>CSIRO Marine &amp; Atmospher Res, GPO Box 1538, Hobart, Tas 7001, Australia.</t>
  </si>
  <si>
    <t>John.Church@csiro.au</t>
  </si>
  <si>
    <t>Church, John A/A-1541-2012; White, Neil/B-2077-2013; Arblaster, Julie/C-1342-2010</t>
  </si>
  <si>
    <t>Church, John A/0000-0002-7037-8194; Arblaster, Julie/0000-0002-4287-2363</t>
  </si>
  <si>
    <t>10.1038/nature04237</t>
  </si>
  <si>
    <t>979XS</t>
  </si>
  <si>
    <t>WOS:000232979000043</t>
  </si>
  <si>
    <t>Truzzi, C; Lambertucci, L; Illuminati, S; Annibaldi, A; Scarponi, G</t>
  </si>
  <si>
    <t>Direct gravimetric measurements of the mass of the antarctic aerosol collected by high volume sampler: PM10 summer seasonal variation at Terra Nova Bay</t>
  </si>
  <si>
    <t>ANNALI DI CHIMICA</t>
  </si>
  <si>
    <t>TRACE-ELEMENTS; ATMOSPHERE; PENINSULA</t>
  </si>
  <si>
    <t>An on-site procedure was set up for direct gravimetric measurement of the mass of aerosol collected using high volume impactors (aerodynamic size cut point of 10 mu m, PM10); this knowledge has hitherto been unavailable. Using a computerized microbalance in a clean chemistry laboratory, under controlled temperature (+/- 0.5 degrees C) and relative humidity (+/- 1%), continuous, lone time filter mass measurements (hours) were carried Out before and after exposure, after a 48 h minimum equilibration at the laboratory conditions. The effect of the electrostatic charge was exhausted in 30-60 min. after which stable measurements were obtained. Measurements of filters exposed for 7-11 days (1.13 m(3) min(-1)) in a coastal site near Terra Nova Bay (December 2000 - February 2001). gave results for aerosol mass in the order of 10-20 mg (SD similar to 2 mg), corresponding to atmospheric concentrations of 0.52-1.27 mu g m(-3). Data show a seasonal behaviour in the PM10 content with an increase during December - early January, followed by a net decrease. The above results compare well with estimates obtained from proxy data for the Antarctic Peninsula (0.30 mu g m(-3)), the Ronne Ice Shelf (1.49 mu g m(-3)), and the South Pole (0.18 mu g m(-3), summer 1974-1975, and 0.37 mu g m(-3), average summer seasons 1975-1976 and 1977-1978), and from direct gravimetric measurements recently obtained. upwind from medium volume samplers at McMurdo station (downwind 3.39 mu g m(-3). 4.15 mu g m(-3)) and at King George Island (2.5 mu g m(-3). summer, particle diameter &lt;20 mu m). This finding opens the way to the direct measurement of the chemical composition of the Antarctic aerosol and, in turn, to a better knowledge of the snow/air relationships as required for the reconstruction of the chemical composition of past atmospheres from deep ice core data.</t>
  </si>
  <si>
    <t>Univ Politecn Marche, Dipartimento Sci Mare, I-60131 Ancona, Italy</t>
  </si>
  <si>
    <t>Marche Polytechnic University</t>
  </si>
  <si>
    <t>Truzzi, C (corresponding author), Univ Politecn Marche, Dipartimento Sci Mare, Via Brecce Bianche S-N, I-60131 Ancona, Italy.</t>
  </si>
  <si>
    <t>c.truzzi@univpm.it</t>
  </si>
  <si>
    <t>Illuminati, Silvia/T-7873-2019; Scarponi, Giuseppe/AAQ-6394-2021; Illuminati, Silvia/GXZ-5038-2022</t>
  </si>
  <si>
    <t>Illuminati, Silvia/0000-0001-6465-5477; Scarponi, Giuseppe/0000-0003-2932-0596;</t>
  </si>
  <si>
    <t>SOC CHIMICA ITALIANA</t>
  </si>
  <si>
    <t>ROME</t>
  </si>
  <si>
    <t>VIALE LIEGI 48, I-00198 ROME, ITALY</t>
  </si>
  <si>
    <t>0003-4592</t>
  </si>
  <si>
    <t>ANN CHIM-ROME</t>
  </si>
  <si>
    <t>Ann. Chim.</t>
  </si>
  <si>
    <t>NOV-DEC</t>
  </si>
  <si>
    <t>10.1002/adic.200590099</t>
  </si>
  <si>
    <t>005UY</t>
  </si>
  <si>
    <t>WOS:000234850700013</t>
  </si>
  <si>
    <t>Gielwanowska, I; Szczuka, E; Bednara, J; Górecki, R</t>
  </si>
  <si>
    <t>Anatomical features and ultrastructure of Deschampsia antarctica (Poaceae) leaves from different growing habitats</t>
  </si>
  <si>
    <t>ANNALS OF BOTANY</t>
  </si>
  <si>
    <t>Deschampsia antarctica; anatomical features; mesophyll cells; ultrastructure; stress condition; Poaceae; Antarctica; phenotypic plasticity; phenotypic response</t>
  </si>
  <si>
    <t>COLOBANTHUS-QUITENSIS; VASCULAR PLANTS; ABSCISIC-ACID; B RADIATION; GROWTH; REPRODUCTION</t>
  </si>
  <si>
    <t>Background and Aims The leaf anatomy and ultrastructure of Deschampsia antarctica (Poaceae) plants growing in three different habitats (a dry site in the Antarctic tundra, a wet site in a zone exposed to sea spray and a greenhouse) were investigated. The ultrastructure of the leaves of D. antarctica has not been studied before. Methods Semi-thin sections of the D. antarctica leaves were stained with toluidine blue and viewed using a light microscope. Ultra-thin sections stained with uranyl acetate and lead citrate were examined using a transmission electron microscope. Key Results Plants growing in the Antarctic tundra and in a greenhouse had stronger xerophytic features than those growing at the seashore. The stress response of D. antarctica plants growing in the wet environment, exposed to high salinity and flooding, included: irregular mesophyll cells, large intercellular spaces in the parenchymatic layer, bulliform epidermal cells and vascular bundles surrounded with deformed outer and inner bundle sheaths of leaves. The highest number of sclerenchymatic fibres is characteristic of the leaves of plants growing in a greenhouse, whereas the smallest was of plants growing in a wet habitat. Stress conditions can disturb the formation of sclerenchymatic fibres. In plants growing in the Maritime Antarctic the chloroplasts of the mesophyll cells of leaves are of an irregular shape, with pockets or invaginations inside the organelles and outgrowths. Both of them make the surfaces of chloroplasts larger, and result in an increase in the amount of substances exchanged between the chloroplasts and cytoplasm or the other organelles. The leaf mesophyll cells of D. antarctica plants growing in Antarctica contain atypical structures including numerous vesicles of different sizes and concentrically arranged membranes. Conclusions The anatomical and ultrastructural features of the leaf and their changes under stress conditions are considered in relation to the adaptations of D. antarctica to the climate conditions in the Maritime Antarctic.</t>
  </si>
  <si>
    <t>Univ Warmia &amp; Mazury, Dept Plant Physiol &amp; Biotechnol, PL-10719 Olsztyn, Poland; Polish Acad Sci, Dept Antarctic Biol, PL-02141 Warsaw, Poland; Marie Curie Sklodowska Univ, Dept Plant Anat &amp; Cytol, PL-20033 Lublin, Poland</t>
  </si>
  <si>
    <t>University of Warmia &amp; Mazury; Polish Academy of Sciences; Maria Curie-Sklodowska University</t>
  </si>
  <si>
    <t>Univ Warmia &amp; Mazury, Dept Plant Physiol &amp; Biotechnol, Oczapowskiego 1A, PL-10719 Olsztyn, Poland.</t>
  </si>
  <si>
    <t>i.gielwanowska@uwm.edu.pl</t>
  </si>
  <si>
    <t>Szczuka, Ewa/0000-0002-0042-6656; Gorecki, Ryszard/0000-0002-6751-3340</t>
  </si>
  <si>
    <t>0305-7364</t>
  </si>
  <si>
    <t>1095-8290</t>
  </si>
  <si>
    <t>ANN BOT-LONDON</t>
  </si>
  <si>
    <t>Ann. Bot.</t>
  </si>
  <si>
    <t>NOV</t>
  </si>
  <si>
    <t>10.1093/aob/mci262</t>
  </si>
  <si>
    <t>976PT</t>
  </si>
  <si>
    <t>WOS:000232746300014</t>
  </si>
  <si>
    <t>Vishnivetskaya, TA; Kathariou, S</t>
  </si>
  <si>
    <t>Putative transposases conserved in Exiguobacterium isolates from ancient Siberian permafrost and from contemporary surface habitats</t>
  </si>
  <si>
    <t>SEQUENCE ALIGNMENT; SP-NOV; BACTERIA; MICROORGANISMS; DIVERSITY; SEDIMENTS</t>
  </si>
  <si>
    <t>Gram-positive bacteria of the genus Exiguobacterium have been repeatedly isolated from Siberian permafrost ranging in age from 20,000 to 2 to 3 million years and have been sporadically recovered from markedly diverse habitats, including microbial mats in Lake Fryxell (Antarctic), surface water, and food-processing environments. However, there is currently no information on genomic diversity of this microorganism or on the physiological strategies that have allowed its survival under prolonged freezing in the permafrost. Analysis of the genome sequence of the most ancient available Exiguobacterium isolate (Exiguobacterium sp. strain 255-15, from 2 to 3 million-year-old Siberian permafrost) revealed numerous putative transposase sequences, primarily of the IS200/IS605, IS30, and IS3 families, with four transposase families identified. Several of the transposase genes appeared to be part of insertion sequences. Southern blots with different transposase probes yielded high-resolution genomic fingerprints which differentiated the different permafrost isolates from each other and from the Exiguobacterium spp. type strains which have been derived from diverse surface habitats. Each of the Exiguohacterium sp. strain 255-15 transposases that were used as probes had highly conserved homologs in the genome of other Exiguobacterium strains, both from permafrost and from modern sites. These findings suggest that, prior to their entrapment in permafrost, Exiguobacterium isolates had acquired transposases and that conserved transposases are present in Exiguobacterium spp., which now can be isolated from various modern surface habitats.</t>
  </si>
  <si>
    <t>N Carolina State Univ, NASA, Astrobiol Inst, Raleigh, NC 27695 USA</t>
  </si>
  <si>
    <t>North Carolina State University; National Aeronautics &amp; Space Administration (NASA)</t>
  </si>
  <si>
    <t>N Carolina State Univ, Dept Food Sci, Schaub Hall,Room 339, Raleigh, NC 27695 USA.</t>
  </si>
  <si>
    <t>tavishni@ncsu.edu</t>
  </si>
  <si>
    <t>Vishnivetskaya, Tatiana/A-4488-2008</t>
  </si>
  <si>
    <t>Vishnivetskaya, Tatiana/0000-0002-0660-023X</t>
  </si>
  <si>
    <t>10.1128/AEM.71.11.6954-6962.2005</t>
  </si>
  <si>
    <t>983IN</t>
  </si>
  <si>
    <t>WOS:000233225000061</t>
  </si>
  <si>
    <t>Armstrong, RA</t>
  </si>
  <si>
    <t>Radial growth of Rhizocarpon section Rhizocarpon lichen thalli over six years at Snoqualmie Pass in the Cascade Range, Washington State</t>
  </si>
  <si>
    <t>ARCTIC ANTARCTIC AND ALPINE RESEARCH</t>
  </si>
  <si>
    <t>SEASONAL GROWTH; NITROGENASE ACTIVITY; SAXICOLOUS LICHENS; FOLIOSE LICHENS; TH FR; GEOGRAPHICUM; GLACIER; ECOLOGY; HABITAT; PATTERN</t>
  </si>
  <si>
    <t>This article describes a 6-yr study of the radial growth rates (RGR. mm yr(-1)) of Rhizocarpon section Rhizocarpon thalli oil a talus slope at Snoqualmie Pass in the Cascade Range, Washington State, United States (47 degrees 27'N; 121 degrees 26'W). At the end of the growth period, 32 of a total of 39 thalli had exhibited a positive RGR, and 7 of a total of 39 thalli showed no measurable growth. Mean RGR of all thalli was 0.07 mill yr(-1) (range, 0-0.19 mm, SD = 0.06). Analysis of variance suggested no significant variation in RGR ill Successive growth periods, but significant differences were present both within and between thalli. The slope of a boulder facet did not influence RGR, but growth was affected by aspect, the least growth being observed on north-north west facets. A plot of RGR against thallus diameter revealed a wide scatter of data points with little evidence for a significant change in growth with thallus size. Hence, the study showed that the RGR of Rhizocarpon thalli at Snoqualmie is extremely slow and highly variable and significantly less than estimates based oil lichenometry. To determine the growth curve of a yellow-green Rhizocarpon by direct measurement at such a site would require a large sample of thalli and careful standardization of the species studied, the aspect conditions under which the thalli were measured, and the initial hypothallus width of the thalli.</t>
  </si>
  <si>
    <t>Aston Univ, Birmingham B4 7ET, W Midlands, England</t>
  </si>
  <si>
    <t>Aston University</t>
  </si>
  <si>
    <t>Aston Univ, Birmingham B4 7ET, W Midlands, England.</t>
  </si>
  <si>
    <t>R.A.Armstrong@aston.ac.uk</t>
  </si>
  <si>
    <t>Armstrong, Richard A/H-4557-2012; Armstrong, Richard/AAU-4580-2020</t>
  </si>
  <si>
    <t>Armstrong, Richard/0000-0002-5046-3199</t>
  </si>
  <si>
    <t>INST ARCTIC ALPINE RES</t>
  </si>
  <si>
    <t>UNIV COLORADO, BOULDER, CO 80309 USA</t>
  </si>
  <si>
    <t>1523-0430</t>
  </si>
  <si>
    <t>1938-4246</t>
  </si>
  <si>
    <t>ARCT ANTARCT ALP RES</t>
  </si>
  <si>
    <t>Arct. Antarct. Alp. Res.</t>
  </si>
  <si>
    <t>10.1657/1523-0430(2005)037[0411:RGORSR]2.0.CO;2</t>
  </si>
  <si>
    <t>Environmental Sciences; Geography, Physical</t>
  </si>
  <si>
    <t>Environmental Sciences &amp; Ecology; Physical Geography</t>
  </si>
  <si>
    <t>990QH</t>
  </si>
  <si>
    <t>WOS:000233757800001</t>
  </si>
  <si>
    <t>Balascio, NL; Kaufman, DS; Briner, JP; Manley, WF</t>
  </si>
  <si>
    <t>Late Pleistocene glacial geology of the Okpilak-Kongakut Rivers Region, northeastern Brooks Range, Alaska</t>
  </si>
  <si>
    <t>NATIONAL WILDLIFE REFUGE; USA; MOUNTAINS; EROSION; CLIMATE</t>
  </si>
  <si>
    <t>Glacial mapping combined with cosmogenic exposure dating provides the first detailed assessment of the late Pleistocene glacial history in the northeastern Brooks Range, Alaska. Former ice limits were identified in the Okpilak, Jago, Aichillik, Egaksrak, and Kongakut River valleys. Relative-weathering data Support Our correlations with the well-studied glacial sequence of the central Brooks Range. Of the 16 boulders from four moraines analyzed for Be-10, the exposure ages on two moraines are lightly clustered. The results indicate that the glacier in the Jago River valley reached its maximum extent during C the Itkillik II glaciation by about 23.2 +/- 2.8 ka. The ice retreated rapidly, and a prominent, but local, readvance took place by 19.1 +/- 2.8 ka within a tributary valley. The relative size of glaciers and the difference in ice extent between the likillik I and Itkillik II glaciations varied among the river valleys, with the Aichillik River valley showing the greatest difference. A first-order trend Surface fit to Itkillik II equilibrium lines rises toward the south, from 1400 to 1800 m. This is a reversal of the overall trend across the rest of the Brooks Range, and suggests that glaciers of the last glacial maximum in the northeastern sector, similar to today, benefited from file cold and possibly moister conditions associated with their proximity to the Beaufort Sea.</t>
  </si>
  <si>
    <t>No Arizona Univ, Dept Geol, Flagstaff, AZ 86011 USA; Univ Colorado, Inst Arctic &amp; Alpine Res, Boulder, CO 80309 USA</t>
  </si>
  <si>
    <t>Northern Arizona University; University of Colorado System; University of Colorado Boulder</t>
  </si>
  <si>
    <t>No Arizona Univ, Dept Geol, Flagstaff, AZ 86011 USA.</t>
  </si>
  <si>
    <t>darrell.kaufman@nau.edu</t>
  </si>
  <si>
    <t>Kaufman, Darrell S/A-2471-2008; briner, jason/JDM-4641-2023</t>
  </si>
  <si>
    <t>Balascio, Nicholas/0000-0001-7106-3541</t>
  </si>
  <si>
    <t>10.1657/1523-0430(2005)037[0416:LPGGOT]2.0.CO;2</t>
  </si>
  <si>
    <t>WOS:000233757800002</t>
  </si>
  <si>
    <t>Benedict, JB</t>
  </si>
  <si>
    <t>Tundra game drives: an Arctic-Alpine comparison</t>
  </si>
  <si>
    <t>USA</t>
  </si>
  <si>
    <t>Stone fences and blinds built by prehistoric hunters to gather and ambush elk and bighorn sheep above timberline in the Colorado Front Range are similar in concept and function to structures built by the Copper Inuit and their predecessors for hunting caribou near Bathurst Inlet, in the Central Canadian Arctic. Four principal differences exist: (1) Circular blinds and continuous rock walls are more numerous in the Front Range than in the Arctic, where arcuate breastworks and lines of widely spaced cairns predominate. Differences in prey-species behavior are the most probable explanation. (2) Stone house foundations, meat-drying facilities, meat caches, kayak-storage racks, and fox and wolf traps occur near drive sites along caribou migration routes in the Bathurst Inlet region. The structures imply long-term habitation made possible by a plentiful meat supply. Comparable structures are absent above timberline in the Front Range because people retreated to warmer environments in winter, and because steep terrain and deep snow discouraged return Visits to high-altitude caches. (3) The technique was adopted much earlier in Colorado than in the Central Canadian Arctic. The oldest Front Range drive systems were constructed while the Laurentide Ice Sheet still covered the Bathurst Inlet landscape. (4) Pedestrian game-drive hunting was abandoned in the Front Range soon after arrival of the horse (ca. A.D. 1700), but remained an integral part of Copper Inuit subsistence until the mid twentieth century. The rich ethnographic and oral history record of communal hunting in the Arctic is invaluable for interpreting the Colorado structures.</t>
  </si>
  <si>
    <t>Ctr Mt Archeol, Ward, CO 80481 USA</t>
  </si>
  <si>
    <t>Ctr Mt Archeol, 8297 Overland Rd, Ward, CO 80481 USA.</t>
  </si>
  <si>
    <t>cloudridgeadb@earthlink.net</t>
  </si>
  <si>
    <t>10.1657/1523-0430(2005)037[0425:TGDAAC]2.0.CO;2</t>
  </si>
  <si>
    <t>WOS:000233757800003</t>
  </si>
  <si>
    <t>Biasi, C; Wanek, W; Rusalimova, O; Kaiser, C; Meyer, H; Barsukov, P; Richter, A</t>
  </si>
  <si>
    <t>Microtopography and plant-cover controls on nitrogen dynamics in hummock tundra ecosystems in Siberia</t>
  </si>
  <si>
    <t>ARCTIC TUSSOCK TUNDRA; SOIL-NITROGEN; TERRESTRIAL ECOSYSTEMS; LITTER DECOMPOSITION; MICROBIAL BIOMASS; TAIMYR PENINSULA; CLIMATE-CHANGE; CARBON; MINERALIZATION; AVAILABILITY</t>
  </si>
  <si>
    <t>Earth hummocks constitute the most common Surface structures of Arctic regions. In hummock undra ecosystems, small mounds of earth alternate with depressions, the so-called interhummock areas. This study aimed at elucidating how differences in microtopography and associated variations ill abiotic and biotic factors control biogeochemical cycles in hummock tundra soils. We assessed N pools and N transformation rates in hummocks and interhummock areas in the Southern tundra subzone and along a soil-moisture gradient in the typical tundra subzone of the Taymyr Peninsula, Siberia, Russia. On it regional scale, N pools and transformation rates were positively related to latitude and therefore to temperature. Generally, wetter or waterlogged soil conditions tended to decrease gross mineralization rates and soil microbial N at least in interhummock areas. In contrast, at small spatial scales, soil microclimatic conditions were not the main determinant of the observed nitrogen cycling pattern. We found higher N pools and N gross mineralization rates at interhummock areas (wetter and cooler) compared to the hummocks (warmer and drier), The observed differences in N cycling between microsites of hummock tundra may be the consequence of different plant-cover and variable Substrate inputs resulting from differences in microrelief.</t>
  </si>
  <si>
    <t>Univ Vienna, Inst Ecol &amp; Conservat Biol, A-1090 Vienna, Austria; Russian Acad Sci, Inst Soil Sci &amp; Agrochem, Siberian Branch, Novosibirsk 630099, Russia</t>
  </si>
  <si>
    <t>University of Vienna; Russian Academy of Sciences</t>
  </si>
  <si>
    <t>Richter, A (corresponding author), Univ Vienna, Inst Ecol &amp; Conservat Biol, Althanstr 14, A-1090 Vienna, Austria.</t>
  </si>
  <si>
    <t>Andreas.Richter@univie.ac.at</t>
  </si>
  <si>
    <t>Rusalimova, Olga/AAZ-9723-2020; Kaiser, Christina/C-4229-2014; Richter, Andreas/D-8483-2012; Wanek, Wolfgang/E-7001-2012; Biasi, Christina/E-1130-2013</t>
  </si>
  <si>
    <t>Kaiser, Christina/0000-0002-2005-1820; Richter, Andreas/0000-0003-3282-4808; Wanek, Wolfgang/0000-0003-2178-8258; Biasi, Christina/0000-0002-7413-3354</t>
  </si>
  <si>
    <t>10.1657/1523-0430(2005)037[0435:MAPCON]2.0.CO;2</t>
  </si>
  <si>
    <t>WOS:000233757800004</t>
  </si>
  <si>
    <t>Choler, P</t>
  </si>
  <si>
    <t>Consistent shifts in Alpine plant traits along a mesotopographical gradient</t>
  </si>
  <si>
    <t>LOW-TEMPERATURE PHOTOINHIBITION; COMMUNITY COMPOSITION; CLIMATIC GRADIENT; SPECIES TRAITS; LEAF TRAITS; SEED FATES; HISTORY; TUNDRA; DISTURBANCE; COMPETITION</t>
  </si>
  <si>
    <t>Despite an increasing interest in the study of functional diversity, there have been few attempts to link plant traits, habitat variation, and community structure in Alpine landscapes. These interrelationships were examined along a snowmelt and growing-season-length gradient determined by mesotopographical variations. The study site was chosen so as to encompass much of the floristic beta diversity encountered at the Alpine belt of the southwestern Alps. A three-table ordination technique, named RLQ, was used to unravel on a quantitative basis the co-structure of a plot-by-environmental-variable table, a plot-by-species table, and a species-by-traits table. The main covariations between traits and habitat were (1) an increased specific leaf area (SLA) and leaf nitrogen content on a mass basis (N-mass) in late-meting sites, (2) a trend toward upright and thick leaves in the most exposed, physically disturbed, early-melting sites, and (3) an increasing leaf area in the middle of the gradient, which also exhibits small-scale disturbance due to the Alpine marmot. The interplay of intermediate snow-melting dates and intense zoogenic disturbance appears to promote plant diversity and the persistence of species whose mean-elevation distribution is located much below the study site. The adaptive value of trait attributes along the mesotopographical gradient is discussed within the broader context of plant strategies in temperate Alpine grasslands.</t>
  </si>
  <si>
    <t>Univ Grenoble 1, Stn Alpine Lautaret, F-38041 Grenoble, France; Univ Grenoble 1, Lab Ecol Alpine, CNRS, UMR 5553, F-38041 Grenoble, France</t>
  </si>
  <si>
    <t>Communaute Universite Grenoble Alpes; Universite Grenoble Alpes (UGA); Centre National de la Recherche Scientifique (CNRS); CNRS - Institute of Ecology &amp; Environment (INEE); Communaute Universite Grenoble Alpes; Universite Grenoble Alpes (UGA); Universite Savoie Mont Blanc</t>
  </si>
  <si>
    <t>Univ Grenoble 1, Stn Alpine Lautaret, F-38041 Grenoble, France.</t>
  </si>
  <si>
    <t>philippe.choler@ujf-grenoble.fr</t>
  </si>
  <si>
    <t>Choler, Philippe/A-7270-2008</t>
  </si>
  <si>
    <t>Choler, Philippe/0000-0002-9062-2721</t>
  </si>
  <si>
    <t>10.1657/1523-0430(2005)037[0444:CSIAPT]2.0.CO;2</t>
  </si>
  <si>
    <t>WOS:000233757800005</t>
  </si>
  <si>
    <t>Doche, B; Franchini, S; Pornon, A; Lemperiere, G</t>
  </si>
  <si>
    <t>Changes of humus features along with a successional gradient of Rhododendron ferrugineum (L.) populations (subalpine level, northwestern Alps, France)</t>
  </si>
  <si>
    <t>BILBERRY SPRUCE FOREST; NITROGEN MINERALIZATION; AMMONIUM NUTRITION; SOIL COMMUNITY; DYNAMICS; NITRATE; PLANTS; HETEROGENEITY; FEEDBACK; LITTER</t>
  </si>
  <si>
    <t>The modifications of humus characteristics as a result of the establishment and the increasing cover of Rhododendron ferrugineum L. (Ericaceae) in a subalpine meadow were studied in three sites in the northwestern French Alps corresponding to a west-east transect between wet and dry Alps (Chaine de Belledonne, Massif du Taillefer, Brianconnais). The physical and chemical parameters of humus and biological parameters were studied during the successive studies. As opposed to other Ericaceae heathlands on siliceous soils (Vaccinium sp., Erica sp., Calluna vulgaris), with an increasing Rhododendron cover, the humus structure changed while some other parameters remain stable or increased. The development of Rhododendron populations on calcareous soils (Brianconnais) with maintenance of a calcareous humus has never been checked before. The modifications of the Rhododendron environment under its canopy led to an improvement in its growth conditions (positive feedback).</t>
  </si>
  <si>
    <t>Univ Grenoble 1, CNRS, Lab Biol Populat Altitude, UMR 5553,Ctr Biol Alpine, F-38041 Grenoble, France; Univ Toulouse 3, Lab Ecol Terr, CNRS, UMR 5552, F-31062 Toulouse, France</t>
  </si>
  <si>
    <t>Communaute Universite Grenoble Alpes; Universite Grenoble Alpes (UGA); Centre National de la Recherche Scientifique (CNRS); Universite Savoie Mont Blanc; CNRS - Institute of Ecology &amp; Environment (INEE); Centre National de la Recherche Scientifique (CNRS); Universite de Toulouse; Universite Toulouse III - Paul Sabatier</t>
  </si>
  <si>
    <t>Univ Grenoble 1, CNRS, Lab Biol Populat Altitude, UMR 5553,Ctr Biol Alpine, BP 53, F-38041 Grenoble, France.</t>
  </si>
  <si>
    <t>Guy.Lemperiere@ujf-grenoble.fr</t>
  </si>
  <si>
    <t>10.1657/1523-0430(2005)037[0454:COHFAW]2.0.CO;2</t>
  </si>
  <si>
    <t>WOS:000233757800006</t>
  </si>
  <si>
    <t>Hiller, B; Nuebel, A; Broll, G; Holtmeier, FK</t>
  </si>
  <si>
    <t>Snowbeds on silicate rocks in the Upper Engadine (Central Alps, Switzerland) - Pedogenesis and interactions among soil, vegetation, and snow cover</t>
  </si>
  <si>
    <t>ALPINE TUNDRA ECOTONE</t>
  </si>
  <si>
    <t>The pedogenesis and interactions among soil, vegetation, and snow cover of four alpine snowbeds on silicate rocks in the Upper Engadine (Central Alps, Switzerland) were investigated. The long-lasting snow cover of snowbeds causes differences in pedogenesis and soil properties compared to adjacent alpine sward. Because of the drainage characteristics of the silicate parent material, pedogenesis of snowbeds varies. On well-drained parent material, percolating meltwater favors podzolization during snowmelt. On less permeable parent material, rneltwater causes temporarily water-logged conditions. Thus, the snowbed soils show redoximorphic features such as iron concretions. Snowbed soils are classified as Inceptisols or Entisols. A more detailed differentiation is only possible at the soil family level. Outside the snowbeds, moder humus humus (Rhizic Leptomoder, Rhizic Mullmoder) are common, whereas inside the snowbeds, mull humus forms (Rhizomull) as well as moder humus forms (Leptomoder) occur.</t>
  </si>
  <si>
    <t>Univ Munster, Ctr Environm Res, ZUFO, D-48149 Munster, Germany; Univ Munster, Inst Landscape Ecol, D-48149 Munster, Germany; Univ Vechta, ISPA, Dept Geo &amp; Agroecol, D-49364 Vechta, Germany</t>
  </si>
  <si>
    <t>University of Munster; University of Munster</t>
  </si>
  <si>
    <t>Hiller, B (corresponding author), Univ Munster, Ctr Environm Res, ZUFO, Mendelstr 11, D-48149 Munster, Germany.</t>
  </si>
  <si>
    <t>hillerb@uni-muenster.de</t>
  </si>
  <si>
    <t>10.1657/1523-0430(2005)037[0465:SOSRIT]2.0.CO;2</t>
  </si>
  <si>
    <t>WOS:000233757800007</t>
  </si>
  <si>
    <t>Lewis, T; Braun, C; Hardy, DR; Francus, P; Bradley, RS</t>
  </si>
  <si>
    <t>An extreme sediment transfer event in a Canadian High Arctic stream</t>
  </si>
  <si>
    <t>ELLESMERE-ISLAND; NORTHWEST-TERRITORIES; FOSHEIM PENINSULA; GLACIATION; NUNAVUT; LAKE</t>
  </si>
  <si>
    <t>Two large suspended sediment concentration (SSC) pulses were recorded in 1998 in a small snowmelt-fed stream on Ellesmere Island in the Canadian High Arctic. The largest pulse occurred from 7 to 8 July, when 32% of the monitored seasonal sediment transport ccurred in only four hours. SSC reached 83,760 mg L-1 exceeding all previously recorded values from high arctic glacially-fed and snowmelt-fed rivers by more than one order of magnitude. The event occurred after the majority of snow in the watershed had melted, and was preceded by a long period of relatively high air temperature, and a small rainfall event on 7 July. We consider the most likely cause of the event to be a rapid mass movement.</t>
  </si>
  <si>
    <t>Univ Massachusetts, Climate Syst Res Ctr, Amherst, MA 01003 USA</t>
  </si>
  <si>
    <t>University of Massachusetts System; University of Massachusetts Amherst</t>
  </si>
  <si>
    <t>Univ Massachusetts, Climate Syst Res Ctr, Amherst, MA 01003 USA.</t>
  </si>
  <si>
    <t>lewist@geo.umass.edu</t>
  </si>
  <si>
    <t>Francus, Pierre/H-3713-2019; Bradley, Raymond S/P-9358-2015; Francus, Pierre/IZD-8849-2023</t>
  </si>
  <si>
    <t>Francus, Pierre/0000-0001-5465-1966; Bradley, Raymond S/0000-0002-4032-9519; Francus, Pierre/0000-0001-5465-1966</t>
  </si>
  <si>
    <t>10.1657/1523-0430(2005)037[0477:AESTEI]2.0.CO;2</t>
  </si>
  <si>
    <t>WOS:000233757800008</t>
  </si>
  <si>
    <t>Ling, F; Zhang, TJ</t>
  </si>
  <si>
    <t>Modeling the effect of variations in snowpack-disappearance date on surface-energy balance on the Alaskan North Slope</t>
  </si>
  <si>
    <t>SEASONAL SNOW; ACTIVE LAYER; HEAT-BALANCE; RADIATIVE FLUXES; THERMAL REGIME; ARCTIC TUNDRA; COVER; PERMAFROST; IMPACT; CYCLE</t>
  </si>
  <si>
    <t>Variations in the timing and duration of seasonal snow cover have a significant impact on local and regional atmospheric dynamics, hydrologic and geomorphic processes through the modification of the surface-radiation balance and the ultimate effect on near-surface-air temperature. This study investigated numerically the effect of variations in the date of seasonal snow-cover disappearance on the components of surface-energy balance on the Alaskan North Slope by using a heat-transfer model with phase change. The baseline inputs for the meteorological characteristics included mean daily air temperature, dewpoint temperature, snow-cover depth, incident solar radiation, wind speed, and atmospheric pressure observed at Barrow, Alaska, from 1995 to 1998. Three simulation cases were conducted by using the measured snow data and by varying the snowpack-disappearance date by 10 days in 1998. The mean differences of the components of surface-energy balance caused by variations in snowpack disappearance were also quantified on an annual basis from July 1997 through June 1998. Results indicate that varying the snowpack-disappearance date by 10 clays in spring call strongly affect the mean annual net solar radiation, sensible heat flux, and latent heat flux and call slightly affect the mean annual net longwave radiation and conductive heat flux.</t>
  </si>
  <si>
    <t>Univ Colorado, Natl Snow &amp; Ice Data Ctr, Cooperat Inst Res Environm Sci, Boulder, CO 80303 USA; China Meteorol Adm, Inst Plateau Meteorol, Chengdu 610072, Sichuan, Peoples R China; Zhaoqing Univ, Dept Comp Sci, Zhaoqing 526061, Guagdong, Peoples R China</t>
  </si>
  <si>
    <t>University of Colorado System; University of Colorado Boulder; China Meteorological Administration; Zhaoqing University</t>
  </si>
  <si>
    <t>Univ Colorado, Natl Snow &amp; Ice Data Ctr, Cooperat Inst Res Environm Sci, Boulder, CO 80303 USA.</t>
  </si>
  <si>
    <t>tzhang@kryos.colorado.edu</t>
  </si>
  <si>
    <t>ZHANG, TINGJUN/AAX-3662-2020</t>
  </si>
  <si>
    <t>ZHANG, Tingjun/0000-0001-6974-9501</t>
  </si>
  <si>
    <t>10.1657/1523-0430(2005)037[0483:MTEOVI]2.0.CO;2</t>
  </si>
  <si>
    <t>WOS:000233757800009</t>
  </si>
  <si>
    <t>Liu, XD; Sun, LG; Xie, ZQ; Yin, XB; Wang, YH</t>
  </si>
  <si>
    <t>A 1300-year record of penguin populations at Ardley Island in the Antarctic, as deduced from the geochemical data in the ornithogenic lake sediments</t>
  </si>
  <si>
    <t>LATE HOLOCENE; SURFACE SEDIMENTS; AGE CALIBRATION; CLIMATE-CHANGE; SEA-ICE; PENINSULA; ELEMENTS; HISTORY; TRENDS; COLONY</t>
  </si>
  <si>
    <t>We have reconstructed a continuous high-resolution penguin population record over the past similar to 1300 years from the geochemical and C-14 dating data in the ornithogenic lake sediments at Ardley Island in the Antarctic. The concentrations of F, P, Sr, Se, S, Cu, Zn, and Ca in the sediments are notably enriched and significantly correlated with each other, and they have a consistent pattern of change versus depth. These elements, as previously reported, are biomarkers of penguin droppings and population. Over the past similar to 1300 years, the penguin population at Ardley Island, as measured by these biomarkers' concentrations, has a decreasing trend, especially during the past century when the penguin population has dropped steeply. Compared with the paleoclimatic records and glacial advance and retreat history in the study area, the pronounced penguin population changes in the absence of human activities appear to be related to climatic changes. The steep decline of the penguin populations in the past century, however, seems to be caused by the abnormally wan-ning climate in the Antarctic Peninsula.</t>
  </si>
  <si>
    <t>Univ Sci &amp; Technol China, Inst Polar Environm, Hefei 230026, Anhui, Peoples R China</t>
  </si>
  <si>
    <t>Chinese Academy of Sciences; University of Science &amp; Technology of China, CAS</t>
  </si>
  <si>
    <t>Univ Sci &amp; Technol China, Inst Polar Environm, Hefei 230026, Anhui, Peoples R China.</t>
  </si>
  <si>
    <t>slg@ustc.edu.cn</t>
  </si>
  <si>
    <t>xie, zhouqing/P-9661-2019</t>
  </si>
  <si>
    <t>10.1657/1523-0430(2005)037[0490:AYROPP]2.0.CO;2</t>
  </si>
  <si>
    <t>WOS:000233757800010</t>
  </si>
  <si>
    <t>Löffler, J; Finch, OD</t>
  </si>
  <si>
    <t>Spatio-temporal gradients between high mountain ecosystems of central Norway</t>
  </si>
  <si>
    <t>PITFALL TRAPS; VEGETATION; COLORADO; BEETLES; ECOLOGY; ECOTONE; RANGE; USA</t>
  </si>
  <si>
    <t>Spatio-temporal gradients between ecosystems of the central Norwegian high mountains are analyzed. Complex landscape ecological site analyses combined with intensive pitfall trapping are carried out in four investigation areas in two regions. Key questions are addressed for the differences among ecosystems along a broad-scaled oceanic-continental gradient. The answers are based on ecological process analysis and mapping of zoocoenoses in small catchments of two alpine altitudinal belts. A comparison of four ridge sites is presented by analyzing water and temperature balance and activity of arthropods during the driest summer month. The results do not implicate summer drought and heat as limiting factors; summer wetness and cooling are most decisive. Landscape ecological processes, like the accumulation of snow during winter, snow melting, freeze-thaw action, percolation, soil moisture variation, and temperature regimes are exemplified by long-term measurements throughout the year in a small catchment in continental eastern Norway-the driest mountain region in Scandinavia. To team about the organization and diversity of zoocoenoses, epigeic arthropods (Araneae, Carabidae) are investigated along spatial gradients. Interrelations between distribution patterns of animals and spatio-temporal dynamics of the environmental conditions are presented. The results are framed by gradient theory in landscape ecology. Finally, the complexity of spatio-temporal gradient determination between ecosystems is discussed and summarized by a scheme of gradient principles for the Norwegian mountains.</t>
  </si>
  <si>
    <t>Univ Bonn, Dept Geog, D-53111 Bonn, Germany; Univ Oldenburg, Dept Biol &amp; Environm Sci, D-26111 Oldenburg, Germany</t>
  </si>
  <si>
    <t>University of Bonn; Carl von Ossietzky Universitat Oldenburg</t>
  </si>
  <si>
    <t>Löffler, J (corresponding author), Univ Bonn, Dept Geog, Meckenheimer Allee 166, D-53111 Bonn, Germany.</t>
  </si>
  <si>
    <t>loeffler@giub.uni-bonn.de; oliver.d.finch@uni-oldenburg.de</t>
  </si>
  <si>
    <t>Löffler, Jörg/ITU-3817-2023</t>
  </si>
  <si>
    <t>Loffler, Jorg/0000-0002-9320-6168</t>
  </si>
  <si>
    <t>10.1657/1523-0430(2005)037[0499:SGBHME]2.0.CO;2</t>
  </si>
  <si>
    <t>WOS:000233757800011</t>
  </si>
  <si>
    <t>Lundgren, R; Olesen, JM</t>
  </si>
  <si>
    <t>The dense and highly connected world of Greenland's plants and their pollinators</t>
  </si>
  <si>
    <t>MUTUALISTIC NETWORKS; COMPLEX NETWORKS; FOOD WEBS; PATTERNS</t>
  </si>
  <si>
    <t>A pollination network of 26 pollinator species interacting with 17 plant species from the small Greenlandic island Uummannaq was analyzed for multiple parameters values. Of the insects collected, 77% of all individuals and 77% of all species belonged to Diptera. The ratio of pollinators to plant species was 1.5, which is lower than in other Arctic pollination networks. This might be a double-island effect as Uummannaq is a small island next to Greenland. Connectance was 14.3%, and linkage level of pollinator and plant species averaged 2.4 and 3.7 species links, respectively. The characteristic path length and average clustering coefficient of the 1-mode networks were 1.4 and 0.83, respectively, for the pollinator species and 1.3 and 0.79, respectively, for the plant species. For both pollinator species and plant species, the tail of the degree distribution had the best fit to an exponential model, indicating that the most connected species was constrained in their linking. However, the extremely short path length and high clustering indicated that the networks had small-world behavior, meaning that any disturbance is spread very fast to the entire network and that the networks are error tolerant but vulnerable to attack on the most linked species.</t>
  </si>
  <si>
    <t>Aarhus Univ, Dept Ecol &amp; Genet, DK-8000 Aarhus, Denmark</t>
  </si>
  <si>
    <t>Aarhus University</t>
  </si>
  <si>
    <t>Aarhus Univ, Dept Ecol &amp; Genet, Block 540,Ny Munkegade, DK-8000 Aarhus, Denmark.</t>
  </si>
  <si>
    <t>rebekkal@bot.ku.dk; jens.olesen@biology.au.dk</t>
  </si>
  <si>
    <t>Olesen, Jens M/A-3011-2009</t>
  </si>
  <si>
    <t>Olesen, Jes/0000-0002-6712-2702</t>
  </si>
  <si>
    <t>10.1657/1523-0430(2005)037[0514:TDAHCW]2.0.CO;2</t>
  </si>
  <si>
    <t>WOS:000233757800012</t>
  </si>
  <si>
    <t>Mayer, AC; Stöckli, V</t>
  </si>
  <si>
    <t>Long-term impact of cattle grazing on subalpine forest development and efficiency of snow avalanche protection</t>
  </si>
  <si>
    <t>The study presented herein investigated the differences in stand structure of grazed and ungrazed subalpine forests and whether subalpine forests used for grazing satisfactorily protect against avalanches. In subalpine forests of Picea abies L. Karst and Larix decidua Miller, grazed and ungrazed plots of 225 m 2 were analyzed through the use of dendroecological methods. The grazed forests were found to be less dense than the ungrazed forests and to have a higher percentage of European larch. However, the density of the forests investigated was high enough to impede the release of avalanches. The young trees grew faster in the grazed forests. There were less dominant trees in grazed forests, and these trees were much older than in ungrazed forests. The main structure types in the grazed and ungrazed forests were multilayered open and uniform dense, respectively. The management of mountain forests as wood pastures seems to enhance the readiness of the forest owners to conduct selective logging operations. Thus, forest grazing can encourage the development of heterogeneously structured forest stands, which can regenerate more easily while fulfilling a function of avalanche protection.</t>
  </si>
  <si>
    <t>Swiss Fed Inst Snow &amp; Avalanche Res SLF, WSL, CH-7260 Davos, Switzerland</t>
  </si>
  <si>
    <t>Swiss Federal Institutes of Technology Domain; Swiss Federal Institute for Forest, Snow &amp; Landscape Research</t>
  </si>
  <si>
    <t>Mayer, AC (corresponding author), Swiss Fed Inst Snow &amp; Avalanche Res SLF, WSL, Fluelastr 11, CH-7260 Davos, Switzerland.</t>
  </si>
  <si>
    <t>mayer@slf.ch</t>
  </si>
  <si>
    <t>10.1657/1523-0430(2005)037[0521:LIOCGO]2.0.CO;2</t>
  </si>
  <si>
    <t>WOS:000233757800013</t>
  </si>
  <si>
    <t>Musselman, RC; Massman, WJ; Frank, JM; Korfmacher, JL</t>
  </si>
  <si>
    <t>The temporal dynamics of carbon dioxide under snow in a high elevation rocky mountain subalpine forest and meadow</t>
  </si>
  <si>
    <t>TEMPERATE DECIDUOUS FOREST; CO2 FLUX; FIELD RESPONSES; ARCTIC TUNDRA; WINTER; SOIL; N2O; CH4; EFFLUX; WATER</t>
  </si>
  <si>
    <t>Carbon dioxide (CO(2)) concentration under snow was examined through two winter seasons at a 3100 in elevation subalpine site in the Snowy Range of Wyoming. CO(2) was monitored every half hour at the soil/snow interface, and at about -25 cm soil depth the second year, in a meadow and in an adjacent forest. CO(2) under snow ill the meadow was significantly higher than that ill the forest. CO(2) at -25 cm depth in the soil was significantly higher than soil surface CO(2). The CO(2) under snow increased rapidly as snow melted and snowmelt began in the spring. CO(2) concentration under snow depended primarily oil amount occurring during the previous 24 or 48 h. However, CO(2) concentration was related to snow depth and soil temperature, and indirectly to several seasonal environmental factors, especially solar radiation. Solar radiation, snow depth, and CO(2) under snow all increase concurrently as the winter season progresses. CO(2) flux was consistently higher in the meadow than in the forest and increased in late winter for both sites. Snow covered subalpine meadows and forests contribute considerable amounts of CO(2) to the atmosphere in the winter.</t>
  </si>
  <si>
    <t>US Forest Serv, USDA, Rocky Mt Res Stn, Ft Collins, CO 80526 USA</t>
  </si>
  <si>
    <t>United States Department of Agriculture (USDA); United States Forest Service</t>
  </si>
  <si>
    <t>Musselman, RC (corresponding author), US Forest Serv, USDA, Rocky Mt Res Stn, 240 W Prospect Rd, Ft Collins, CO 80526 USA.</t>
  </si>
  <si>
    <t>musselman@fs.fed.us</t>
  </si>
  <si>
    <t>Frank, John/ABD-2324-2021</t>
  </si>
  <si>
    <t>10.1657/1523-0430(2005)037[0527:TTDOCD]2.0.CO;2</t>
  </si>
  <si>
    <t>WOS:000233757800014</t>
  </si>
  <si>
    <t>Rawat, GS; Adhikari, BS</t>
  </si>
  <si>
    <t>Floristics and distribution of plant communities across moisture and topographic gradients in Tso Kar basin, Changthang plateau, eastern Ladakh</t>
  </si>
  <si>
    <t>This paper deals with the floristic structure and plant-community composition in relation to environmental gradients in the Tso Kar basin, an similar to 300 km(2) area of the Changthang plateau. A total of 131 sites covering various landscape units-namely, sandy plains, marsh meadows, moist meadows, scrub steppe, fell-fields, and stream courses-were intensively sampled by using random quadrats of 1 m. In addition, these sites were searched for the presence of other vascular plants. In all, 232 species of vascular plants belonging to 38 families and 101 genera were collected and recorded from the study area. Poaceae (39 species), Asteraceae (27 species), Cyperaceae (25 species), Brassicaceae (14 species), Fabaceae (12 species), and Ranunculaceae (12 species) are the dominant families. It is interesting to note that the study area has a very high monocot:dicot ratio (1:2). Analysis of Raunkiaer's life-forms reveals that the area is dominated by two growth forms-namely, 57% hemicryptophytes (perennial grasses and sedges) and 24% chamacphytes (dwarf herbs and matted shrubs). The density of steins ranges from 28 to 744 plants per square meter. Species richness varies from 4 to 15, and diversity values are from 0.143 to 1.679. Among communities, the highest similarity (57.5%) is between Scirpus-Carex and Scirpus-Kobresia-Ranunculus. Conservation implications of the findings and the need for a participatory approach of the rangeland management are discussed.</t>
  </si>
  <si>
    <t>Wildlife Inst India, Dept Habitat Ecol, Dehra Dun 248001, Uttar Pradesh, India</t>
  </si>
  <si>
    <t>Wildlife Institute of India</t>
  </si>
  <si>
    <t>Wildlife Inst India, Dept Habitat Ecol, POB 18, Dehra Dun 248001, Uttar Pradesh, India.</t>
  </si>
  <si>
    <t>rawatg@wii.gov.in; adhikaribs@wii.gov.in</t>
  </si>
  <si>
    <t>Adhikari, Bhupendra Singh/0000-0001-5632-0044</t>
  </si>
  <si>
    <t>10.1657/1523-0430(2005)037[0539:FADOPC]2.0.CO;2</t>
  </si>
  <si>
    <t>WOS:000233757800015</t>
  </si>
  <si>
    <t>Rennermalm, AK; Soegaard, H; Nordstroem, C</t>
  </si>
  <si>
    <t>Interannual variability in carbon dioxide exchange from a high arctic fen estimated by measurements and modeling</t>
  </si>
  <si>
    <t>TRACE GAS-EXCHANGE; PHOTOSYNTHETIC CAPACITY; GROWING-SEASON; CLIMATE-CHANGE; CO2 EXCHANGE; LONG-TERM; TUNDRA; ECOSYSTEM; NORTHERN; BALANCE</t>
  </si>
  <si>
    <t>The response of high arctic ecosystems' carbon dioxide exchange to changing climate is uncertain and may be important from a climate-change perspective. In this study, the net ecosystem carbon dioxide exchange during four growing seasons is examined by combining measurements and modeling from a high arctic fen in northeastern Greenland. The summer-season net ecosystem exchange shows large interannual variations, fluctuating from an uptake of -50 g C m(-2) to -123 g C m(-2). Through ecosystem modeling, we can observe that leaf area index development and the maximum Rubisco capacity are more important controls on the interannual variability of net ecosystem carbon dioxide exchange than meteorological conditions. Furthermore, we present a hypothesis linking the interannual variability in maximum Rubisco capacity with leaf nitrogen content and leaf area index development. This hypothesis may provide a method to model seasonal net ecosystem carbon dioxide exchange in detail Without having to resort to elaborate fitting procedures using measured carbon dioxide flux data.</t>
  </si>
  <si>
    <t>Princeton Univ, Dept Civil &amp; Environm Engn, Princeton, NJ 08544 USA; Univ Copenhagen, Inst Geog, DK-1350 Copenhagen, Denmark; Danish Meteorol Inst, DK-2100 Copenhagen, Denmark</t>
  </si>
  <si>
    <t>Princeton University; University of Copenhagen; Danish Meteorological Institute DMI</t>
  </si>
  <si>
    <t>Princeton Univ, Dept Civil &amp; Environm Engn, Princeton, NJ 08544 USA.</t>
  </si>
  <si>
    <t>arennerm@princeton.edu</t>
  </si>
  <si>
    <t>Rennermalm, Asa K/I-3270-2012</t>
  </si>
  <si>
    <t>Rennermalm, Asa/0000-0002-2470-7444</t>
  </si>
  <si>
    <t>10.1657/1523-0430(2005)037[0545:IVICDE]2.0.CO;2</t>
  </si>
  <si>
    <t>WOS:000233757800016</t>
  </si>
  <si>
    <t>Saros, JE; Interlandi, SJ; Doyle, S; Michel, TJ; Williamson, CE</t>
  </si>
  <si>
    <t>Are the deep chlorophyll maxima in alpine lakes primarily induced by nutrient availability, not UV avoidance?</t>
  </si>
  <si>
    <t>ULTRAVIOLET-RADIATION; SEASONAL DISTRIBUTION; OLIGOTROPHIC LAKE; MOUNTAIN LAKES; SINKING-RATE; PHYTOPLANKTON; ALTITUDE; RESPONSES; DYNAMICS; COLORADO</t>
  </si>
  <si>
    <t>Alpine lakes are often highly transparent to ultraviolet (UV) wavelengths, which has led to the Suggestion that it deep chlorophyll maximum (DCM) results in these systems from UV avoidance by phytoplankton. However, ail alternative explanation is that the formation of the DCM is primarily driven by greater nutrient availability below the thermocline in these oligotrophic systems. We investigated the location of the chlorophyll maximum over spatial and temporal scales in it set of high-elevation lakes in the Beartooth Mountains (Montana/Wyoming). The position of the DCM was compared to a suite of physical and chemical variables across systems. Chlorophyll was strongly correlated to it suite of nitrogen variables, whereas correlations with UV parameters were not consistently observed. We also conducted an experiment with the natural phytoplankton assemblage from the DCM in Beartooth Lake; both UV exposure and nutrient additions were tested in it factorial design. The UV-exposed treatment and the control had the same final total phytoplankton biovolume, while the nutrient addition treatment had a final biovolume tell times as great. These results Suggest that, its in other oligotrophic aquatic systems, greater nutrient availability in the hypolimnion leads to the development of the DCM in alpine lakes.</t>
  </si>
  <si>
    <t>Univ Wisconsin, Dept Biol, La Crosse, WI 54601 USA; Drexel Univ, Dept Biosci &amp; Biotechnol, Philadelphia, PA 19104 USA; Lehigh Univ, Dept Earth &amp; Environm Sci, Bethlehem, PA 18015 USA</t>
  </si>
  <si>
    <t>University of Wisconsin System; Drexel University; Lehigh University</t>
  </si>
  <si>
    <t>Saros, JE (corresponding author), Univ Wisconsin, Dept Biol, 1725 State St, La Crosse, WI 54601 USA.</t>
  </si>
  <si>
    <t>saros.jasm@uwlax.edu</t>
  </si>
  <si>
    <t>10.1657/1523-0430(2005)037[0557:ATDCMI]2.0.CO;2</t>
  </si>
  <si>
    <t>WOS:000233757800017</t>
  </si>
  <si>
    <t>Sass, O</t>
  </si>
  <si>
    <t>Temporal variability of rockfall in the Bavarian Alps, Germany</t>
  </si>
  <si>
    <t>WEATHERING REGIME; FREEZE THAW; ALPINE; FREQUENCY; VALLEY</t>
  </si>
  <si>
    <t>This paper presents data derived from extensive rockfall investigations in the Karwendel Mountains and in the Ammer Mountains near the German-Austrian border. The rock faces in the areas investigated consist of Mesozoic limestone and dolostone. The debris was quantified by means of more than 60 rockfall collectors, which were emptied regularly. Air and rock temperature data were measured by a meteorological station and by several dataloggers equipped with pT100 temperature probes. The temporal distribution of rockfall was highly variable, which is due to the combination of several trigger parameters. A statistical analysis of the dataset revealed that various meteorological conditions enhance the probability of rockfall occurrence. Deep frost in winter, freezing and thawing during wet weather conditions, and wetting/drying contribute to the weathering of the rock faces investigated. The actual removal, leading to rockfall, is triggered by a complex combination of frost shattering, temperature fluctuations, and downwash by precipitation. Despite the irregular patterns, it is evident that the mean removal in the summer months is much higher than in winter, which is probably due to the lack of water in the cold season. Even a large number of temperature oscillations across zero do not seem to affect weathering as long as there is an insufficient moisture supply.</t>
  </si>
  <si>
    <t>Inst Geog, D-86135 Augsburg, Germany</t>
  </si>
  <si>
    <t>Inst Geog, Univ Str 10, D-86135 Augsburg, Germany.</t>
  </si>
  <si>
    <t>oliver.sass@geo.uni-augsburg.de</t>
  </si>
  <si>
    <t>10.1657/1523-0430(2005)037[0564:TVORIT]2.0.CO;2</t>
  </si>
  <si>
    <t>WOS:000233757800018</t>
  </si>
  <si>
    <t>Scherrer, P; Pickering, CM</t>
  </si>
  <si>
    <t>Recovery of alpine vegetation from grazing and drought: Data from long-term photoquadrats in Kosciuszko National Park, Australia</t>
  </si>
  <si>
    <t>EASTERN CENTRAL PLATEAU; BOGONG HIGH-PLAINS; PERMANENT PLOTS; COMMUNITIES; HEATHLAND; DYNAMICS; FIRE; COLORADO; NITROGEN; IMPACTS</t>
  </si>
  <si>
    <t>Recovery of tall alpine herbfields from livestock grazing and drought were examined using 30, 0.6 X 0.9 m permanent quadrats photographed in 1959, 1964, 1968, 1978, and 2001 in Kosciuszko National Park, southeastern Australia. Cover attributes were assessed using a 130-point grid superimposed over each slide/photograph. For the 18 permanent quadrats near Mount Gungartan, where grazing ceased in 1958, there was a pattern of increasing vegetation cover. Bare areas were initially colonized by herbs, with native grasses, the lateral expansion of existing shrubs, and other herb species eventually replacing the colonizing herbs. For the 12 quadrats near Mount Kosciuszko, where grazing ceased 15 years before the survey, vegetation cover was high (around 94%) in all surveys except at the end of a long drought. The drought caused an increase in litter at both locations as graminoids died back. Graminoid cover recovered relatively rapidly and had reached pre-drought levels by 1978 and remained high. Herb cover was dynamic after the initial recovery from grazing, with a trend for reduced herb cover after 1964. The pattern of recovery from these two types of landscape level disturbances differed due to the different responses of the major life forms to bare ground, litter, and existing vegetation cover. The study also highlights the benefits of existing long-term monitoring programs.</t>
  </si>
  <si>
    <t>Griffith Univ, Sch Env &amp; Appl Sci, PMB 50 Gold Coast Mail Centre, Brisbane, Qld 9726, Australia</t>
  </si>
  <si>
    <t>Griffith University</t>
  </si>
  <si>
    <t>Griffith Univ, Sch Env &amp; Appl Sci, PMB 50 Gold Coast Mail Centre, Brisbane, Qld 9726, Australia.</t>
  </si>
  <si>
    <t>c.pickering@griffith.edu.au</t>
  </si>
  <si>
    <t>Scherrer, Pascal/AFL-3548-2022</t>
  </si>
  <si>
    <t>Scherrer, Pascal/0000-0002-3229-9524; Pickering, Catherine/0000-0002-3731-5407</t>
  </si>
  <si>
    <t>10.1657/1523-0430(2005)037[0574:ROAVFG]2.0.CO;2</t>
  </si>
  <si>
    <t>WOS:000233757800019</t>
  </si>
  <si>
    <t>Sherrod, SK; Seastedt, TR; Walker, MD</t>
  </si>
  <si>
    <t>Northern pocket gopher (Thomomys talpoides) control of alpine plant community structure</t>
  </si>
  <si>
    <t>NIWOT RIDGE; LONG-TERM; SEEDLING ESTABLISHMENT; NUTRIENT AVAILABILITY; SPECIES-DIVERSITY; GEOMYS-BURSARIUS; ANNUAL GRASSLAND; SOIL-NITROGEN; FRONT RANGE; VEGETATION</t>
  </si>
  <si>
    <t>We evaluated the importance of the northern pocket gopher (Thomomys talpoides) in controlling plant species composition and richness in two alpine tundra plant communities. We hypothesized that forb diversity and relative abundance is modified by gopher mounding activities in moist meadows of Niwot Ridge, Colorado, U.S.A., where both the pocket gopher and forbs are most concentrated. We tested this hypothesis with simulated gopher mounds. Forbs recovered faster following burial than graminoids or cushion plants, demonstrating a resilience that we propose confers a competitive advantage over other growth forms and favors forb dominance in moist meadows. Gopher effects on species richness varied according to spatial scale of measurement and community type. For one decade we monitored the responses of a sedge-dominated community to gopher activity in 1.5 m(2) plots that included both gopher mounds and intermound spaces and found that species richness was significantly positively correlated with recent disturbance. Species richness on the simulated gopher mounds (0.2 m(2)) immediately declined significantly after burial but recovered within a year. When evaluated in conjunction with studies of gopher diet preferences and effects on ecosystem biogeochemistry, our findings suggest that the northern pocket gopher is instrumental in constructing a locally diverse alpine plant community.</t>
  </si>
  <si>
    <t>Univ Colorado, Inst Arct &amp; Alpine Res, Boulder, CO 80309 USA; Univ Colorado, Dept Environm Populat &amp; Organism Biol, Boulder, CO 80309 USA</t>
  </si>
  <si>
    <t>Univ Colorado, Inst Arct &amp; Alpine Res, 1560 30th St, Boulder, CO 80309 USA.</t>
  </si>
  <si>
    <t>sksherrod@gmail.com; Timothy.Seastedt@colorado.edu</t>
  </si>
  <si>
    <t>Seastedt, Tim/AAG-1100-2019</t>
  </si>
  <si>
    <t>10.1657/1523-0430(2005)037[0585:NPGTTC]2.0.CO;2</t>
  </si>
  <si>
    <t>WOS:000233757800020</t>
  </si>
  <si>
    <t>Singh, HB; Sundriyal, RC</t>
  </si>
  <si>
    <t>Composition, economic use, and nutrient contents of alpine vegetation in the Khangchendzonga Biosphere Reserve, Sikkim Himalaya, India</t>
  </si>
  <si>
    <t>GRASSLAND; PRODUCTIVITY; CONSERVATION</t>
  </si>
  <si>
    <t>The Khangchendzonga Biosphere Reserve in the Sikkim State, India, with an area of 2620 km(2), forms an important reserve to protect biodiversity, habitats, and landscapes of the eastern Himalayan region. More than 18% of the area supports alpine vegetation, which is extensively used as summer grazing grounds by transhumance and nomadic graziers. Despite the global recognition of the region, unfortunately no report has so far been rnade available oil the vegetation composition of the reserve. The present paper reports on floral diversity, economic use, and nutrient contents of selected alpine pastures at elevations between 3800 and 4800 in above sea level in the Khangchendzonga Biosphere Reserve. The growing season lasts from April to October, and during the rest of the months, the area remains under snow. The pastureland showed high species richness: as many as 202 plant species were present. These belong to 38 families, of which 90% of the species are dicotyledons and 9% are rnonocotyledons. Plant diversity and density increased from April until August and decreased thereafter. Monocotyledon species, Such as Poa angustifolia, show high dominance during the early and late parts of the growing season, whereas dicot species proliferate mainly during the middle part of the growing season. Asteraceae, Ranunculaceae, Ericaceae, Primulaceae, and Rosaceae are dominant plant families in the area. Life-form distribution patterns showed that &gt; 50% of the species were chamaephytes, showing high adaptation by the plants. Besides using the area for grazing, the local people also collect various species for medicine, incense, tea-substitute, and aesthetic purposes. The belowground plant parts contributed nearly 90% of total plant biomass, whereas the aboveground biomass contributed just 10%. Such partitioning of biomass is considered beneficial in pastureland, as the belowgroud biomass helps the immediate recovery of vegetation after grazing as well its at the start of the growing season. Most of the species are highly nutritive and have high mineral contents, and animals showed a preference for species with low lignin content. In order for the area to continue to provide an important pasturage for animals in the future, the grazing pressure must not exceed an optimum level so that the high species diversity can be conserved.</t>
  </si>
  <si>
    <t>GB Pant Inst Himalayan Environm &amp; Dev, NE Unit, Vivek Vihar 791113, India</t>
  </si>
  <si>
    <t>G.B. Pant National Institute of Himalayan Environment &amp; Sustainable Development (GBPNIHESD)</t>
  </si>
  <si>
    <t>GB Pant Inst Himalayan Environm &amp; Dev, NE Unit, Vivek Vihar 791113, India.</t>
  </si>
  <si>
    <t>sundriyalrc@yahoo.com</t>
  </si>
  <si>
    <t>Sundriyal, R.C./0000-0003-0873-0609</t>
  </si>
  <si>
    <t>10.1657/1523-0430(2005)037[0591:CEUANC]2.0.CO;2</t>
  </si>
  <si>
    <t>WOS:000233757800021</t>
  </si>
  <si>
    <t>Soudzilovskaia, NA; Onipchenko, VG</t>
  </si>
  <si>
    <t>Experimental investigation of fertilization and irrigation effects on an alpine heath, northwestern Caucasus, Russia</t>
  </si>
  <si>
    <t>PLANT-SPECIES RICHNESS; NUTRIENT AVAILABILITY; GROWTH-RESPONSE; TUNDRA; PRODUCTIVITY; DIVERSITY; NITROGEN; COMMUNITY; PATTERNS; VEGETATION</t>
  </si>
  <si>
    <t>We investigated the response of an alpine lichen heath plant community to an increase in soil nutrient and water availability. A 5-yr experiment-including additions of calcium, phosphorus, nitrogen, and nitrogen + phosphorus as well as irrigation-was conducted in northwestern Caucasus, Russia, at 2800 in above sea level. Number of plants and generative shoots per species were counted annually. The plant-community composition started to change during the second year of treatments. Plant density and flowering of the community is co-limited by nitrogen and phosphorus. Irrigation and calcium additions caused minimal changes. The total number of forb plants per square meter was not influenced by treatments, whereas the total number of graminoid plants slightly increased in response to P treatment and strongly increased in response to N + P treatment. Forbs responded to N and N + P treatments by an increase in the number of generative shoots. Individual species differed in their response to treatments. Only clonal species responded to experimental treatments, except for one annual nonclonal species, which increased its abundance in response to irrigation. Biodiversity estimated by the Shannon-Wiener index decreased under N + P treatment. Species number was not affected by any of the treatments.</t>
  </si>
  <si>
    <t>Vrije Univ Amsterdam, Dept Syst Ecol, NL-1081 HV Amsterdam, Netherlands; Moscow MV Lomonosov State Univ, Dept Geobot, Fac Biol, Moscow 119992, Russia</t>
  </si>
  <si>
    <t>Vrije Universiteit Amsterdam; Lomonosov Moscow State University</t>
  </si>
  <si>
    <t>Vrije Univ Amsterdam, Dept Syst Ecol, Dr Boelelaan 1085, NL-1081 HV Amsterdam, Netherlands.</t>
  </si>
  <si>
    <t>nadia.soudzilovskaia@ecology.falw.vu.nl; vonipchenko@herba.msu.ru</t>
  </si>
  <si>
    <t>Onipchenko, Vladimir G./V-4244-2018; Soudzilovskaia, Nadejda A./N-4140-2015</t>
  </si>
  <si>
    <t>10.1657/1523-0430(2005)037[0602:EIOFAI]2.0.CO;2</t>
  </si>
  <si>
    <t>WOS:000233757800022</t>
  </si>
  <si>
    <t>Sutinen, R; Hyyönen, E; Ruther, A; Ahl, A; Sutinen, ML</t>
  </si>
  <si>
    <t>Soil-driven timberline of spruce (Picea abies) in Tanaelv Belt-Lapland Granulite Transition, Finland</t>
  </si>
  <si>
    <t>FOREST-TUNDRA; WATER-CONTENT; HISTORY; VEGETATION; GROWTH; TEMPERATURE; AIRBORNE; TREES; SITE</t>
  </si>
  <si>
    <t>Climate-driven northern limits of cold-hardy conifers, Norway spruce (Piceo abies (L.) Karst.) and Scots pine (Pinus sylvestris L.), reach latitude 70 degrees N in Fennoscandia. Spruce timberline is located at significantly lower latitudes than pine timberline, but factors contributing to this exceptional pattern have remained obscure. We assessed soil-water and soil-nutrient regimes across the spruce timberline in Finnish Lapland through the use of terrestrial electromagnetic (EM) measurements. These included soil dielectric permittivity (epsilon), which is positively correlated to soil-water content (theta(v)); gamma radiation (gamma), which is negatively correlated to soil-water content (theta(v)); and electrical conductivity (alpha(a)), which is a measure of solute content of a soil. The soil EM data were acquired at 15 sites carrying mature (older than 150 yr) stands dominated by either spruce or pine; the sites fall along a 50-km-long transect that crosses the spruce timberline. The correlation and artificial neural network (ANN) analyses revealed that the soil-moisture and Solute content were significantly higher in glacial tills of Norway spruce stands compared to those of stands formed by Scots pine. The stands dominated by Spruce were associated with mesic-wet and nutrient-rich tills derived from mafic amphibole and hornblende gneisses of the Tanaelv Belt and nutrient-poor till derived from felsic garnet gneisses of the Lapland Granulite appeared to constitute Lin edaphic dispersal barrier for Norway spruce.</t>
  </si>
  <si>
    <t>Geol Survey Finland, FIN-96101 Rovaniemi, Finland; Univ Vienna, Inst Geophys, FIN-95900 Kolari, Finland; Finnish Forest Res Inst, FIN-95900 Kolari, Finland</t>
  </si>
  <si>
    <t>Geological Survey of Finland (GTK); Natural Resources Institute Finland (Luke)</t>
  </si>
  <si>
    <t>Geol Survey Finland, POB 77, FIN-96101 Rovaniemi, Finland.</t>
  </si>
  <si>
    <t>raimo.sutinen@gtk.fi; eija.hyvonen@gtk.fi; aruther@univie.at; andreas.ahl@univie.ac.at; marja-liisa.sutinen@metla.fi</t>
  </si>
  <si>
    <t>10.1657/1523-0430(2005)037[0611:STOSPA]2.0.CO;2</t>
  </si>
  <si>
    <t>WOS:000233757800023</t>
  </si>
  <si>
    <t>Takahashi, K</t>
  </si>
  <si>
    <t>Effects of artificial warming on shoot elongation of alpine dwarf pine (Pinus pumila) on Mount Shogigashira, central Japan</t>
  </si>
  <si>
    <t>INTERNATIONAL TUNDRA EXPERIMENT; TIMBERLINE CONIFERS; CLIMATIC CONDITIONS; WIND EXPOSURE; GROWTH; RESPONSES; PLANTS; TEMPERATURE; VEGETATION; LATITUDES</t>
  </si>
  <si>
    <t>The effects of artificial warming on shoot elongation of alpine dwarf pine (Pinus pumila) was studied near Mount Shogigashira summit, central Japan, from 2001 to 2003. A nylon windshield net enclosed two experimental plots, 2 X 2 in, each year at the start of the growing season (June, but late July in 2001). The nets were removed at the end of the growing season (late September or early October). Two plots, 1.5 X 1.5 m, without a net were set as controls. In September 2001, the daily mean air temperature differed little between the experimental and control plots: compared to the control plot, the maximum was 4.3 degrees C higher and the minimum was 1.7 degrees C lower in the experimental plot. The annual shoot elongation differed little between the experimental and control plots in 2001 and 2002, but it was greater in the experimental than in the control plot in 2003. Shoot elongation started in June and ended in August in both experimental and control plots, but the rate of the increase was greater in the experimental than in the control plot in 2003, and so shoots had greater elongation in 2003 in the experimental plot. Thus, artificial warming promoted shoot elongation by increasing the daily maximum temperature.</t>
  </si>
  <si>
    <t>Shinshu Univ, Fac Sci, Dept Biol, Matsumoto, Nagano 3908621, Japan</t>
  </si>
  <si>
    <t>Shinshu University</t>
  </si>
  <si>
    <t>McGill Univ, Dept Biol, 1205 Ave Docteur Penfield, Montreal, PQ H3A 1B1, Canada.</t>
  </si>
  <si>
    <t>koichit@gipac.shinshu-u.ac.jp</t>
  </si>
  <si>
    <t>10.1657/1523-0430(2005)037[0620:EOAWOS]2.0.CO;2</t>
  </si>
  <si>
    <t>WOS:000233757800024</t>
  </si>
  <si>
    <t>Thompson, R; Price, D; Cameron, N; Jones, V; Bigler, C; Rosén, P; Hall, RI; Catalan, J; García, J; Weckstrom, J; Korhola, A</t>
  </si>
  <si>
    <t>Quantitative calibration of remote mountain-lake sediments as climatic recorders of air temperature and ice-cover duration</t>
  </si>
  <si>
    <t>DIATOM ASSEMBLAGES; INDICATORS; MODEL; PH; RECONSTRUCTION; PRECIPITATION; VALIDATION; EUROPE; TRENDS; ALPINE</t>
  </si>
  <si>
    <t>A combination of empirical modeling and a diatom-based transfer function was developed to reconstruct air temperature and ice-cover duration through the study of lake sediments. By using a thermal degree-day modeling approach, ice-cover duration on European mountain and sub-Arctic lakes is found to be very sensitive to temperature change. For example, Our model, which incorporates a weather generator, predicts a 100-day shortening in ice-cover duration for a 3 degrees C temperature rise for catchments at elevations of 1500 in in the Southern Alps and the Pyrenees. For the more maritime takes of Scotland., 30% higher sensitivities (130 d per 3 degrees C) are found, whereas lakes in northwest Finland, in a more continental setting, have only half the sensitivity (50 d per 3 degrees C). A pan-European data set of the species abundance of 252 diatom taxa in 459 mountain and sub-Arctic lakes has been compiled and taxonomically harmonized. Transfer functions were created that relate both seasonal air temperature and ice-cover duration to diatom species composition on the basis of a weighted averaging-partial least squares (WA-PLS) approach. Cross validation was used to test the transfer functions. For ice-cover duration the pan-European data set yields an R-squared value of 0.73, a jack-knifed R-squared value of 0.58, and a residual-mean-square error of prediction (RMSEP) of 23 days. A regional, northern Fennoscandian transect (151 lakes, 122 taxa) yields a jack-knifed R-squared value of 0.50 and an RMSEP of 9 days. For air temperature the pan-European database displayed temperatures. This result contrasts with greatest skill when reconstructing winter or spring the summer temperatures normally Studied when using local elevation gradients. The northern Fennoscandian transect has a remarkably low winter RMSEP of 0.73 degrees C.</t>
  </si>
  <si>
    <t>Univ Edinburgh, Sch Geosci, Edinburgh EH8 9XR, Midlothian, Scotland; UCL, Dept Geog, London WC1H 0AP, England; Umea Univ, Dept Ecol &amp; Environm Sci, S-90187 Umea, Sweden; Climate Impacts Res Ctr, Abisko, Sweden; UB, Limnol Grp, CEAB, CSIC, Blanes 17300, Spain; Tech Univ Catalonia, Dept Hydraul Coastal &amp; Environm Engn, Barcelona 08034, Spain; Univ Helsinki, Environm Change Res Unit, Dept Biol &amp; Environm Sci, FIN-00014 Helsinki, Finland</t>
  </si>
  <si>
    <t>University of Edinburgh; University of London; University College London; Umea University; University of Barcelona; Consejo Superior de Investigaciones Cientificas (CSIC); CSIC - Centre d'Estudis Avancats de Blanes (CEAB); Universitat Politecnica de Catalunya; University of Helsinki</t>
  </si>
  <si>
    <t>Univ Edinburgh, Sch Geosci, Edinburgh EH8 9XR, Midlothian, Scotland.</t>
  </si>
  <si>
    <t>Roy.Thompson@glg.ed.ac.uk</t>
  </si>
  <si>
    <t>Hall, Roland I/K-3165-2019; Garcia, Joan/ABD-7251-2020; Hall, Roland/AAO-2164-2020; Weckström, Jan/N-7665-2013; Catalan, Jordi/A-5420-2008; Bigler, Christian/C-4002-2008</t>
  </si>
  <si>
    <t>Garcia, Joan/0000-0003-1258-8174; Hall, Roland/0000-0002-0314-6449; Weckström, Jan/0000-0001-5604-617X; Catalan, Jordi/0000-0002-2934-4013; Bigler, Christian/0000-0002-8054-6278; Korhola, Atte A./0000-0003-2577-6502</t>
  </si>
  <si>
    <t>10.1657/1523-0430(2005)037[0626:QCORMS]2.0.CO;2</t>
  </si>
  <si>
    <t>WOS:000233757800025</t>
  </si>
  <si>
    <t>Woods, SW; Cooper, DJ</t>
  </si>
  <si>
    <t>Hydrologic factors affecting initial willow seedling establishment along a subalpine stream, Colorado, USA</t>
  </si>
  <si>
    <t>UPPER MISSOURI RIVER; GRAVEL BARS; RIPARIAN COTTONWOODS; MONTANA; RECRUITMENT; GERMINATION; DISPERSAL; DYNAMICS; PATTERNS; FORESTS</t>
  </si>
  <si>
    <t>Willows (Salix spp.) are important riparian plants along high elevation streams of western North America, but the hydrologic conditions needed for initial recruitment are not well defined. A replicated plot experiment was used to determine the effects of (1) elevation above the stream (high, middle, or low), (2) soil texture (sand or gravel), (3) watering to simulate additional rainfall, and (4) all upstream water diversion on soil water content and first-year willow seedling survival along a subalpine reach of the Colorado River. Soil water content varied with elevation (F = 163.8, p &lt; 0.001) and soil texture (F 387.3, p &lt; 0.001), while the effect of the watering treatment was not statistically significant. Soil water content controlled first-year willow seedling survival (r(2) = 0.257, p = 0.002), and no seedlings were found in plots with a mean soil water content of less than 15%. Sandy sites near the river elevation provide the optimal conditions for initial establishment of willows along this and other subalpine streams in the semiarid western United States. Potential establishment sites occur along abandoned channels and in drained beaver ponds, and creation of these sites depends on the occurrence of high flows. Therefore, as at lower elevation, cottonwood-dominated systems, maintenance of a flow regime that includes periodic high flows is essential for sustaining willow establishment along subalpine streams. The upstream diversion reduced the stream stage by up to 13 cm during the growing season, resulting in a similar decline in the water table level and a reduction of up to 15% in plot soil water content. Since seedling survival depends on the availability of soil water, water diversions may adversely affect willow establishment along subalpine streams.</t>
  </si>
  <si>
    <t>Univ Montana, Dept Ecosyst &amp; Conservat Sci, Missoula, MT 59812 USA; Colorado State Univ, Dept Forest Rangeland &amp; Watershed Stewardship, Ft Collins, CO 80523 USA</t>
  </si>
  <si>
    <t>University of Montana System; University of Montana; Colorado State University</t>
  </si>
  <si>
    <t>Univ Montana, Dept Ecosyst &amp; Conservat Sci, Missoula, MT 59812 USA.</t>
  </si>
  <si>
    <t>swoods@forestry.umt.edu; DavidC@cnr.colostate.edu</t>
  </si>
  <si>
    <t>10.1657/1523-0430(2005)037[0636:HFAIWS]2.0.CO;2</t>
  </si>
  <si>
    <t>WOS:000233757800026</t>
  </si>
  <si>
    <t>Bolatto, AD; Israel, FP; Martin, CL</t>
  </si>
  <si>
    <t>High excitation molecular gas in the magellanic clouds</t>
  </si>
  <si>
    <t>galaxies : ISM; ISM : molecules; Magellanic Clouds; submillimeter</t>
  </si>
  <si>
    <t>SEST KEY PROGRAM; ANTARCTIC-SUBMILLIMETER-TELESCOPE; INTERSTELLAR-MEDIUM; CO OBSERVATIONS; STAR-FORMATION; EMISSION; COMPLEX; REGION; SMC; MILLIMETER</t>
  </si>
  <si>
    <t>We present the first survey of submillimeter (CO)-C-12 J = 4 -&gt; 3 emission in the Magellanic Clouds. The survey is comprised of 15 6' x 6' maps obtained using the AST/RO telescope toward the molecular peaks of the Large and Small Magellanic Clouds. We have used these data to constrain the physical conditions in these objects, in particular, their molecular gas density and temperature. We find that there are significant amounts of warm molecular gas associated with most of these molecular peaks and that high molecular gas temperatures are pervasive throughout our sample. We discuss whether this may be due to the low metallicities and the associated dearth of gas coolants in the Clouds and conclude that the present sample is insufficient to assert this effect.</t>
  </si>
  <si>
    <t>Univ Calif Berkeley, Dept Astron, Berkeley, CA 94720 USA; Univ Calif Berkeley, Radio Astron Lab, Berkeley, CA 94720 USA; Leiden Univ, Sterrewacht Leiden, NL-2300 RA Leiden, Netherlands; Oberlin Coll, Wright Lab Phys, Dept Phys &amp; Astron, Oberlin, OH 44074 USA</t>
  </si>
  <si>
    <t>University of California System; University of California Berkeley; University of California System; University of California Berkeley; Leiden University - Excl LUMC; Leiden University; University System of Ohio; Oberlin College</t>
  </si>
  <si>
    <t>Univ Calif Berkeley, Dept Astron, 601 Campbell Hall, Berkeley, CA 94720 USA.</t>
  </si>
  <si>
    <t>bolatto@astro.berkeley.edu; israel@strw.leidenuniv.nl; chris.martin@oberlin.edu</t>
  </si>
  <si>
    <t>Martin, Christopher/0000-0002-8078-8859; Bolatto, Alberto/0000-0002-5480-5686</t>
  </si>
  <si>
    <t>IOP PUBLISHING LTD</t>
  </si>
  <si>
    <t>BRISTOL</t>
  </si>
  <si>
    <t>TEMPLE CIRCUS, TEMPLE WAY, BRISTOL BS1 6BE, ENGLAND</t>
  </si>
  <si>
    <t>1538-4357</t>
  </si>
  <si>
    <t>NOV 1</t>
  </si>
  <si>
    <t>10.1086/432928</t>
  </si>
  <si>
    <t>977VV</t>
  </si>
  <si>
    <t>WOS:000232832500019</t>
  </si>
  <si>
    <t>Gabrielli, P; Barbante, C; Boutron, C; Cozzi, G; Gaspari, V; Planchon, F; Ferrari, C; Turetta, C; Hong, SM; Cescon, P</t>
  </si>
  <si>
    <t>Variations in atmospheric trace elements in Dome C (East Antarctica) ice over the last two climatic cycles</t>
  </si>
  <si>
    <t>ATMOSPHERIC ENVIRONMENT</t>
  </si>
  <si>
    <t>trace elements; Antarctica; ice; climatic cycles</t>
  </si>
  <si>
    <t>HEAVY-METALS; GRAM LEVEL; POLAR ICE; SNOW; EMISSIONS; DUST; CORE; LEAD; SUBPICOGRAM; CIRCULATION</t>
  </si>
  <si>
    <t>Concentrations of Li, Mg, Cr, Mn, Co, Cu, As, Rb, Cd, Ba and Bi have been determined by inductively coupled plasma sector field mass spectrometry (ICP-SFMS) in various sections of the new Dome C EPICA Antarctic ice core, down to the depth of 2193 m, covering a time period of two climatic cycles. The time resolution of these records is at least twice as good as previously published ultra trace elements profiles obtained from the Vostok ice core. During the similar to 217kyr period spanned by this record, a high variability in concentrations is observed for most elements, with low values during warm periods and high values during cold periods. The highest concentrations are recorded at the times of the last two glacial maxima (similar to 20 and similar to 140 kyr BP). The timing and the amplitude of the main concentration peaks match remarkably well the insoluble dust concentration profile. It confirms that dust was the main carrier of atmospheric trace elements to East Antarctica during the cold periods. For Ba, Co, Cu and Rb the crustal contribution was also dominant during warm periods. For other elements the situation is more complex during interglacial periods, when other sources such as volcanic quiescent emissions, became possibly significant for several trace elements such as Cd and Bi. Peculiarly high concentration values are observed for Cd and Bi for a short depth interval dated at similar to 18 kyr BP. It is the same depth interval in which elevated F- values were previously observed. These very high concentrations are attributed to fallout from major local volcanic emissions at that time. (c) 2005 Elsevier Ltd. All rights reserved.</t>
  </si>
  <si>
    <t>Univ Venice, Dept Environm Sci, I-30123 Venice, Italy; CNR, Lab Glaciol &amp; Geophys Environm, F-38402 St Martin Dheres, France; Univ Venice, CNR, Inst Dynam Environm Proc, I-30123 Venice, Italy; Univ Grenoble 1, Inst Univ France, Observ Sci Univers, F-38041 Grenoble, France; Univ Grenoble 1, Inst Univ France, Unite Format &amp; Rech Phys, F-38041 Grenoble, France; Univ Grenoble 1, Inst Univ France, Polytech Grenoble, F-38041 Grenoble, France; KORDI, Korea Polar Res Inst, Seoul 426744, South Korea</t>
  </si>
  <si>
    <t>Universita Ca Foscari Venezia; Consiglio Nazionale delle Ricerche (CNR); Istituto per la Dinamica dei Processi Ambientali (IDPA-CNR); Universita Ca Foscari Venezia; Communaute Universite Grenoble Alpes; Universite Grenoble Alpes (UGA); Institut Universitaire de France; Communaute Universite Grenoble Alpes; Universite Grenoble Alpes (UGA); Institut Universitaire de France; Institut Universitaire de France; Communaute Universite Grenoble Alpes; Institut National Polytechnique de Grenoble; Universite Grenoble Alpes (UGA); Korea Institute of Ocean Science &amp; Technology (KIOST); Korea Polar Research Institute (KOPRI)</t>
  </si>
  <si>
    <t>Univ Venice, Dept Environm Sci, Ca Foscari, I-30123 Venice, Italy.</t>
  </si>
  <si>
    <t>barbante@unive.it</t>
  </si>
  <si>
    <t>Frederic, Planchon A.M./A-8651-2010; Cozzi, Giulio/R-4554-2019; Turetta, Clara/O-2849-2015; Barbante, Carlo/B-3195-2011; Cozzi, Giulio/F-6473-2010</t>
  </si>
  <si>
    <t>Cozzi, Giulio/0000-0001-8796-4176; Turetta, Clara/0000-0003-3130-2901; Barbante, Carlo/0000-0003-4177-2288; Cescon, Paolo/0000-0003-1836-6759; Planchon, Frederic/0000-0003-1288-9698</t>
  </si>
  <si>
    <t>1352-2310</t>
  </si>
  <si>
    <t>1873-2844</t>
  </si>
  <si>
    <t>ATMOS ENVIRON</t>
  </si>
  <si>
    <t>Atmos. Environ.</t>
  </si>
  <si>
    <t>10.1016/j.atmosenv.2005.07.025</t>
  </si>
  <si>
    <t>981CR</t>
  </si>
  <si>
    <t>WOS:000233065300017</t>
  </si>
  <si>
    <t>Tafforin, C</t>
  </si>
  <si>
    <t>Ethological indicators of isolated and confined teams in the perspective of missions to Mars</t>
  </si>
  <si>
    <t>AVIATION SPACE AND ENVIRONMENTAL MEDICINE</t>
  </si>
  <si>
    <t>social behavior; Antarctic; isolation; confinement; interindividual distances; adaptation; group dynamics</t>
  </si>
  <si>
    <t>SUPPORT</t>
  </si>
  <si>
    <t>Introduction: This study proposes an ethological overview of the social behavior of confined and isolated teams within three experimental chambers and at a polar base during long-duration campaigns. These were undertaken as analogous conditions of the mobility restraint and social constraint to which Mars teams would have to adapt. Method: The ethological method consisted of weekly observations and descriptions of the subjects' motor actions and spatial positions at dinnertime, then evaluating their levels of frequency in terms of distances, orientations, and dispersions, as well as facial expressions and body movements. Results. Changes in social behavior indicate different adaptive strategies over time and according to the situation. In large or open areas, interindividual distances are constant. In reduced habitats, the frequency of personal distances decreases and the frequency of public distances increases with high levels of social distance and body mobility from the initial period to the final period. Increasing spatial dispersion and decreasing social orientations indicate low levels of sociality within the teams at the mid-period. Frequent collateral activities during long-duration confinement campaigns indicate high levels of stress in the team members. Discussion: Such ethological indicators could be used in future interplanetary mission scenarios.</t>
  </si>
  <si>
    <t>Ethospace, Res &amp; Studt Grp Human &amp; Space Ethiol, F-31000 Toulouse, France</t>
  </si>
  <si>
    <t>Tafforin, C (corresponding author), Ethospace, Res &amp; Studt Grp Human &amp; Space Ethiol, 13 Rue Alsace Lorraine, F-31000 Toulouse, France.</t>
  </si>
  <si>
    <t>ethospace@wanadoo.fr</t>
  </si>
  <si>
    <t>AEROSPACE MEDICAL ASSOC</t>
  </si>
  <si>
    <t>ALEXANDRIA</t>
  </si>
  <si>
    <t>320 S HENRY ST, ALEXANDRIA, VA 22314-3579 USA</t>
  </si>
  <si>
    <t>0095-6562</t>
  </si>
  <si>
    <t>1943-4448</t>
  </si>
  <si>
    <t>AVIAT SPACE ENVIR MD</t>
  </si>
  <si>
    <t>Aviat. Space Environ. Med.</t>
  </si>
  <si>
    <t>Public, Environmental &amp; Occupational Health; Medicine, General &amp; Internal; Sport Sciences</t>
  </si>
  <si>
    <t>Public, Environmental &amp; Occupational Health; General &amp; Internal Medicine; Sport Sciences</t>
  </si>
  <si>
    <t>984EK</t>
  </si>
  <si>
    <t>WOS:000233285100014</t>
  </si>
  <si>
    <t>Mennerat, A; Bonadonna, F; Perret, P; Lambrechts, MM</t>
  </si>
  <si>
    <t>Olfactory conditioning experiments in a food-searching passerine bird in semi-natural conditions</t>
  </si>
  <si>
    <t>BEHAVIOURAL PROCESSES</t>
  </si>
  <si>
    <t>blue tit; conditioning; olfaction; Parus caeruleus; passerine</t>
  </si>
  <si>
    <t>ANTARCTIC PROCELLARIIFORM SEABIRDS; ODOR RECOGNITION; SOCIAL-DOMINANCE; DISCRIMINATION; CHICKS; MECHANISM; NEST</t>
  </si>
  <si>
    <t>Because passerine birds have a very small relative olfactory bulb size, they have been considered to have weak olfactory capacities for decades. Recent investigations however suggest that breeding female blue tits (Parus caeruleus) are sensitive to lavender odour in the reproductive context of building and maintaining the nest. Here, we present results of an olfactory conditioning experiment in blue tits held in semi-natural conditions during the breeding season. We show that captive male blue tits, trained to associate lavender odour with a food reward, are more attracted to an empty feeder box emitting lavender odour than an odourless empty feeder box. Females did not distinguish significantly between empty feeders with and without lavender odour during the test phase, although they responded positively at the end of the training phase. These results suggest that male blue tits can use olfaction in a context not related to nest building. Additional experiments will be required to better understand the observed sex differences in response to the experimental set up, and in what context free-ranging individuals use olfaction. (c) 2005 Elsevier B.V. All rights reserved.</t>
  </si>
  <si>
    <t>CNRS, UMR 5175, Ctr Ecol Fonct &amp; Evolut, F-34293 Montpellier, France</t>
  </si>
  <si>
    <t>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t>
  </si>
  <si>
    <t>Mennerat, A (corresponding author), CNRS, UMR 5175, Ctr Ecol Fonct &amp; Evolut, 1919 Route Mende, F-34293 Montpellier, France.</t>
  </si>
  <si>
    <t>adele.mennerat@cefe.cnrs.fr</t>
  </si>
  <si>
    <t>Mennerat, Adele/K-4133-2019; Bonadonna, Francesco/A-7456-2008</t>
  </si>
  <si>
    <t>Mennerat, Adele/0000-0003-0368-7197; Bonadonna, Francesco/0000-0002-2702-5801</t>
  </si>
  <si>
    <t>0376-6357</t>
  </si>
  <si>
    <t>BEHAV PROCESS</t>
  </si>
  <si>
    <t>Behav. Processes</t>
  </si>
  <si>
    <t>10.1016/j.beproc.2005.07.005</t>
  </si>
  <si>
    <t>Psychology, Biological; Behavioral Sciences; Zoology</t>
  </si>
  <si>
    <t>Psychology; Behavioral Sciences; Zoology</t>
  </si>
  <si>
    <t>977YY</t>
  </si>
  <si>
    <t>WOS:000232840600005</t>
  </si>
  <si>
    <t>Malosso, E; English, L; Hopkins, DW; O'Donnell, AG</t>
  </si>
  <si>
    <t>Community level physiological profile response to plant residue additions in Antarctic soils</t>
  </si>
  <si>
    <t>BIOLOGY AND FERTILITY OF SOILS</t>
  </si>
  <si>
    <t>Antarctica; decomposition; microbial community; BIOLOG; stepwise discriminant function analysis</t>
  </si>
  <si>
    <t>CARBON-SOURCE-UTILIZATION; SUBSTRATE UTILIZATION PATTERNS; C SOURCE UTILIZATION; MICROBIAL COMMUNITIES; FUNCTIONAL DIVERSITY; FOREST HUMUS; DECOMPOSITION; RHIZOSPHERE; TESTS; GN</t>
  </si>
  <si>
    <t>Changes in microbial community-level physiological profiles (CLPP) were investigated during decomposition of plant materials in maritime Antarctic soils from Alexander Island and Signy Island. For each soil, a series of microcosms were established and half of them amended with Deschampsia antarctica residues and the other half left unamended (controls). Microcosms were destructively sampled at regular intervals and a soil suspension from each microcosm was used to inoculate BIOLOG EcoPlates. The results showed differences between samples due to the treatment (amendment) but no systematic changes due to incubation period. Microbial response in terms of the overall BIOLOG activity in FB soils was greater than in JC and increased in the former during plant decomposition whilst the overall activity of the JC soils remained relatively unchanged. The differences in the microbial community response to plant amendment between FB and JC may be related to the C:N ratio of these soils and to differences in the way in which the different microbial communities respond to sporadic resource inputs.</t>
  </si>
  <si>
    <t>Univ Newcastle Upon Tyne, Inst Res Environm &amp; Sustainabil, Newcastle Upon Tyne NE1 7RU, Tyne &amp; Wear, England; Univ Stirling, Sch Biol &amp; Environm Sci, Stirling FK9 4LA, Scotland</t>
  </si>
  <si>
    <t>Newcastle University - UK; University of Stirling</t>
  </si>
  <si>
    <t>Univ Newcastle Upon Tyne, Inst Res Environm &amp; Sustainabil, Devonshire Bldg, Newcastle Upon Tyne NE1 7RU, Tyne &amp; Wear, England.</t>
  </si>
  <si>
    <t>tony.odonnell@ncl.ac.uk</t>
  </si>
  <si>
    <t>; Malosso, Elaine/I-2153-2012</t>
  </si>
  <si>
    <t>O'Donnell, Tony/0000-0003-2001-4533; Malosso, Elaine/0000-0001-5920-7135; Hopkins, David/0000-0003-0953-8643</t>
  </si>
  <si>
    <t>0178-2762</t>
  </si>
  <si>
    <t>1432-0789</t>
  </si>
  <si>
    <t>BIOL FERT SOILS</t>
  </si>
  <si>
    <t>Biol. Fertil. Soils</t>
  </si>
  <si>
    <t>10.1007/s00374-005-0861-8</t>
  </si>
  <si>
    <t>970AL</t>
  </si>
  <si>
    <t>WOS:000232277500009</t>
  </si>
  <si>
    <t>Oikawa, T; Yamamoto, N; Shimoke, K; Uesato, S; Ikeuchi, T; Fujioka, T</t>
  </si>
  <si>
    <t>Purification, characterization, and overexpression of psychrophilic and thermolabile malate dehydrogenase of a novel antarctic psychrotolerant, Flavobacterium frigidimaris KUC-1</t>
  </si>
  <si>
    <t>BIOSCIENCE BIOTECHNOLOGY AND BIOCHEMISTRY</t>
  </si>
  <si>
    <t>malate dehydrogenase; Flavobacterium; psychrotolerant</t>
  </si>
  <si>
    <t>CYTOPHAGA SP KUC-1; LACTATE-DEHYDROGENASE; BACILLUS SUBTILIS; BACTERIUM; SEQUENCE; ENZYMES; BINDING; SYSTEM</t>
  </si>
  <si>
    <t>We purified the psychrophilic and thermolabile malate dehydrogenase to homogeneity from a novel psychrotolerant, Flavobacterium frigidimaris KUC-1, isolated from Antarctic seawater. The enzyme was a homotetramer with a molecular weight of about 123k and that of the subunit was about 32 k. The enzyme required NAD(P)(+) as a coenzyme and catalyzed the oxidation Of L-malate and the reduction of oxalacetate specifically. The reaction proceeded through an ordered bi-bi mechanism. The enzyme was highly susceptible to heat treatment, and the half-life time at 40 degrees C was estimated to be 3.0 min. The k(cat)/K-m (mu m(-1).s(-1)) values for L-malate and NAD(+) at 30 degrees C were 289 and 2,790, respectively. The enzyme showed pro-R stereospecificity for hydrogen transfer at the C4 position of the nicotinamide moiety of the coenzyme. The enzyme contained 311 amino acid residues and much lower numbers of proline and arginine residues than other malate dehydrogenases.</t>
  </si>
  <si>
    <t>Kansai Univ, Fac Engn, Dept Biotechnol, Suita, Osaka 5658680, Japan; Kansai Univ, High Technol Res Ctr, Suita, Osaka 5658680, Japan</t>
  </si>
  <si>
    <t>Kansai University; Kansai University</t>
  </si>
  <si>
    <t>Kansai Univ, Fac Engn, Dept Biotechnol, Suita, Osaka 5658680, Japan.</t>
  </si>
  <si>
    <t>oikawa@ipcku.kansai-u.ac.jp</t>
  </si>
  <si>
    <t>0916-8451</t>
  </si>
  <si>
    <t>1347-6947</t>
  </si>
  <si>
    <t>BIOSCI BIOTECH BIOCH</t>
  </si>
  <si>
    <t>Biosci. Biotechnol. Biochem.</t>
  </si>
  <si>
    <t>10.1271/bbb.69.2146</t>
  </si>
  <si>
    <t>Biochemistry &amp; Molecular Biology; Biotechnology &amp; Applied Microbiology; Chemistry, Applied; Food Science &amp; Technology</t>
  </si>
  <si>
    <t>Biochemistry &amp; Molecular Biology; Biotechnology &amp; Applied Microbiology; Chemistry; Food Science &amp; Technology</t>
  </si>
  <si>
    <t>989YU</t>
  </si>
  <si>
    <t>WOS:000233710900017</t>
  </si>
  <si>
    <t>Hill, SL; Reid, K; North, AW</t>
  </si>
  <si>
    <t>Recruitment of mackerel icefish (Champsocephalus gunnari) at South Georgia indicated by predator diets and its relationship with sea surface temperature</t>
  </si>
  <si>
    <t>PYGOSCELIS-PAPUA; GENTOO PENGUINS; ECOSYSTEM</t>
  </si>
  <si>
    <t>The South Georgia population of mackerel icefish (Champsocephalus gunnari) is exploited by both a fishery and predators, including gentoo penguins (Pygoscelis papua). Because considerable uncertainty surrounds recent estimates of stock size, there is a need to consider novel approaches that may give insight into the population dynamics of this species. We derive two indices of recruitment based on the occurrence of mackerel icefish in gentoo penguin diets, one of which is scaled by a survey estimate of the density of Antarctic krill (Euphausia superba), an alternative prey species for gentoo penguins. The closure of the fishery for much of the 1990s allowed the relationship between environmental conditions and recruitment to be studied without the confounding effects of fishing mortality. The recruitment indices were positively correlated with sea surface temperature with a lag time equal to the age of the fish. These results suggest strong links between mesoscale environmental processes and the smaller scale interaction between gentoo penguins and their mackerel icefish prey.</t>
  </si>
  <si>
    <t>sih@bas.ac.uk</t>
  </si>
  <si>
    <t>Simeon, Hill L/B-2307-2008</t>
  </si>
  <si>
    <t>CANADIAN SCIENCE PUBLISHING</t>
  </si>
  <si>
    <t>65 AURIGA DR, SUITE 203, OTTAWA, ON K2E 7W6, CANADA</t>
  </si>
  <si>
    <t>1205-7533</t>
  </si>
  <si>
    <t>10.1139/F05-157</t>
  </si>
  <si>
    <t>991FS</t>
  </si>
  <si>
    <t>WOS:000233798300012</t>
  </si>
  <si>
    <t>Wolff, E</t>
  </si>
  <si>
    <t>Global ice cores</t>
  </si>
  <si>
    <t>CHEMISTRY WORLD</t>
  </si>
  <si>
    <t>Wolff, E (corresponding author), British Antarctic Survey, Cambridge CB3 0ET, England.</t>
  </si>
  <si>
    <t>1473-7604</t>
  </si>
  <si>
    <t>CHEM WORLD-UK</t>
  </si>
  <si>
    <t>Chem. World</t>
  </si>
  <si>
    <t>983KU</t>
  </si>
  <si>
    <t>WOS:000233231200054</t>
  </si>
  <si>
    <t>Hiscock, WT; Millero, FJ</t>
  </si>
  <si>
    <t>Nutrient and carbon parameters during the Southern Ocean iron experiment (SOFeX)</t>
  </si>
  <si>
    <t>Southern Ocean; Pacific sector; subpolar regirne; subantarctic zone; Fe; macronutrients; marine carbon cycle; biogeochemical cycle</t>
  </si>
  <si>
    <t>TOTAL INORGANIC CARBON; PHYTOPLANKTON BLOOM; ENRICHMENT EXPERIMENT; CO2; REDFIELD; RATIO; SILICATE; DIATOMS; CYCLE; FERTILIZATION</t>
  </si>
  <si>
    <t>During the 2002 austral summer, two in situ mesoscale iron fertilization experiments were conducted in two distinct silicic acid regimes of the Southern Ocean (SOFeX). The iron was added to the low Si(OH)(4) waters of the Subantarctic (&lt;3 mu mol kg(-1), North Patch) and the high Si(OH)(4) waters poleward of the southern boundary of the Antarctic Circumpolar Current (ACC), (similar to 63 pmol kg(-1), South Patch). The low iron availability in these two regimes of the Southern Ocean limits biological utilization of the ambient nutrients, influences phytoplankton species composition and species-specific nutrient consumption rates. The response of the carbon dioxide system and macronutrients to initial and subsequent iron additions were monitor relative to measurements outside the iron-enriched waters. These iron fertilization experiments demonstrate that iron addition to the High Nutrient Low Chlorophyll (HNLC) regions of the Southern Ocean increases primary productivity and decreases the fugacity of carbon dioxide. Dilution of the iron fertilized sites diminished the observed geochemical signals produced as a result of phytoplankton growth, while the entrainment of silicic acid sustained the increase of diatom biomass in the low Si(OH)(4) waters of the Subantarctic. Empirical observation of the elemental composition of the iron fertilized ecosystems and the observed nutrient-depletion ratios upon the addition of iron were indicative of changes in the community structure and/or changes in the unique physiological nutrient consumption rates of a species within the community. Ultimately, variations in the nutrient-depletion ratios induced by increased iron concentrations influences biogeochernical cycles in the Southern Ocean and the export of carbon. Molar ratios in the north and south iron fertilization sites, respectively, were determined to be Delta N:Delta P = 14.1 +/- 0.2 and 14.2 +/- 0.4; Delta C:Delta N = 9.1 +/- 1.7 and 7.2 +/- 0.6; Delta C:Delta P = 106 +/- 4 and 99 +/- 4; Delta C:Delta Si = 7.7 +/- 0.8 and 6.2 +/- 0.5; Delta C:Delta O-2 = -0.75 +/- 0.02 and -0.73 +/- 0.02. Combining these results, the following stoichiometry is obtained for the growth of phytoplankton during the SOFeX in the north and south iron enrichment sites, 106CO(2) + 120H(2)O + 14HNO(3) + H3PO4 + 14SiO(2) (CH2O)(92)(CH2)14(NH3)(14)(H3PO4)(SiO2)(14) + 141O(2) and 99CO(2) + 113H(2)O + 14HNO(3) + H3PO4 + 16SiO(2) -&gt; (CH2O)(81)(CH2)(18)(NH3)(14)(H3PO4)(SiO2)(16) + 136O(2), respectively. Variations in the ratios of carbon to macronutrients utilized by the ecosystem under iron replete conditions are important for the interpretation of the effect of iron fluxes on atmospheric CO2 concentrations in glacial times, highlighting the integral role of Fe and the Southern Ocean regulation of atmospheric carbon dioxide. (c) 2005 Elsevier Ltd. All rights reserved.</t>
  </si>
  <si>
    <t>Univ Miami, Rosenstiel Sch Marine &amp; Atmospher Sci, Dept MAC, Miami, FL 33149 USA</t>
  </si>
  <si>
    <t>University of Miami</t>
  </si>
  <si>
    <t>Univ Miami, Rosenstiel Sch Marine &amp; Atmospher Sci, Dept MAC, 4600 Rickenbacker Causeway, Miami, FL 33149 USA.</t>
  </si>
  <si>
    <t>whiscock@rsmas.miami.edu</t>
  </si>
  <si>
    <t>10.1016/j.dsr.2005.06.010</t>
  </si>
  <si>
    <t>978BP</t>
  </si>
  <si>
    <t>WOS:000232847500008</t>
  </si>
  <si>
    <t>Kim, D; Kim, DY; Park, JS; Kim, YJ</t>
  </si>
  <si>
    <t>Interannual variation of particle fluxes in the eastern Bransfield Strait, Antarctica: A response to the sea ice distribution</t>
  </si>
  <si>
    <t>time-series sediment trap; organic carbon; biogenic silica; lithogenic material; Si : C ratio</t>
  </si>
  <si>
    <t>SOUTHERN-OCEAN; ROSS SEA; CARBON-DIOXIDE; PHYTOPLANKTON BIOMASS; TIME-SERIES; IRON; VARIABILITY; PACIFIC; GROWTH; LIMITATION</t>
  </si>
  <si>
    <t>Time-series sediment traps were deployed to investigate the temporal evolution of particle fluxes in the eastern Bransfield Strait over a 3-year period, from December 1998 to December 2001. Particle fluxes showed large seasonal and interannual variations. In 1999 and 2000, a seasonal trend of mass fluxes was characterized by highly elevated mass fluxes in the summer season, greater than 300 mg m(-2) d(-1), two orders of magnitude greater than winter mass fluxes. Such high summer fluxes were not observed in 2001, however, and seasonality was also significantly reduced. The absence of a high summer flux in 2001 might have been due to an abnormal expansion of sea ice to the trap mooring site during the 2001 summer season. The large interannual variation in particle flux is closely related to annual changes in sea ice cover in the eastern Bransfield Strait, which limits phytoplankton productivity in the surface waters. There is a lag of about I month between the surface water productivity and the export production in the eastern Bransfield Strait. The delay in the export production might have been due to the favorable environmental conditions for phytoplankton growth in the early summer when most primary production is stored in phytoplankton biomass, and few organic particles sink into the deep ocean. An average biogenic silica:organic carbon (Si:C) ratio of 1.5 was obtained from trap material collected at a depth of 678 - 1034 m, lower than the ratio obtained from the marginal winter sea ice zone of the Atlantic section and the Antarctic zone of the Pacific section. To produce a Si:C ratio of 1.5 at a depth of 678 - 1034 m from the surface water ratio of 0.52, at least 65% of the surface organic carbon must be remineralized during the descent to 678 - 1034 m. The 3 - year mean of annual organic carbon fluxes measured in the eastern Bransfield Strait was 4.21 +/- 3.16 g C m(-2), about two times higher than that of the central Bransfield Strait (2.84 +/- 3.33 g C M) and an order of magnitude higher than that of the western Bransfield Strait (0.35 g C m(-2)). (c) 2005 Elsevier Ltd. All rights reserved.</t>
  </si>
  <si>
    <t>Korea Ocean Res &amp; Dev Inst, Seoul 425600, South Korea</t>
  </si>
  <si>
    <t>Korea Ocean Res &amp; Dev Inst, Ansan POB 29, Seoul 425600, South Korea.</t>
  </si>
  <si>
    <t>dkim@kordi.re.kr</t>
  </si>
  <si>
    <t>10.1016/j.dsr.2005.06.008</t>
  </si>
  <si>
    <t>WOS:000232847500010</t>
  </si>
  <si>
    <t>Cardinal, D; Savoye, N; Trull, TW; André, L; Kopczynska, EE; Dehairs, F</t>
  </si>
  <si>
    <t>Variations of carbon remineralisation in the Southern Ocean illustrated by the Baxs proxy (vol 52, pg 355, 2005)</t>
  </si>
  <si>
    <t>Musee Royal Afr Cent, Dept Geol &amp; Mineral, Sect Mineral &amp; Petrog, B-3080 Tervuren, Belgium; Vrije Univ Brussels, Dept Analyt &amp; Environm Chem, Brussels, Belgium; Univ Tasmania, CSIRO Marine Res, Antarctic Climate &amp; Ecosyst Cooperat Res Ctr, Hobart, Tas 7000, Australia; Polish Acad Sci, Dept Antarctic Biol, Warsaw, Poland</t>
  </si>
  <si>
    <t>Royal Museum for Central Africa; Vrije Universiteit Brussel; Commonwealth Scientific &amp; Industrial Research Organisation (CSIRO); Antarctic Climate &amp; Ecosystems Cooperative Research Centre (ACE CRC); University of Tasmania; Polish Academy of Sciences</t>
  </si>
  <si>
    <t>Cardinal, D (corresponding author), Musee Royal Afr Cent, Dept Geol &amp; Mineral, Sect Mineral &amp; Petrog, Leuvensesteenweg 13, B-3080 Tervuren, Belgium.</t>
  </si>
  <si>
    <t>damien.cardinal@africamuseum.be</t>
  </si>
  <si>
    <t>Trull, Tom W/B-7028-2014</t>
  </si>
  <si>
    <t>Andre, Luc/0000-0002-7286-0072</t>
  </si>
  <si>
    <t>10.1016/j.dsr.2005.06.009</t>
  </si>
  <si>
    <t>WOS:000232847500014</t>
  </si>
  <si>
    <t>Siegert, MJ; Pokar, M; Dowdeswell, JA; Benham, T</t>
  </si>
  <si>
    <t>Radio-echo layering in West Antarctica: a spreadsheet dataset</t>
  </si>
  <si>
    <t>EARTH SURFACE PROCESSES AND LANDFORMS</t>
  </si>
  <si>
    <t>radio-echo sounding; internal layers; West Antarctica</t>
  </si>
  <si>
    <t>POLAR ICE SHEETS; PENETRATING RADAR; STABILITY; ORIGIN; SHELF; AGE</t>
  </si>
  <si>
    <t>Of the various information recovered from radio-echo sounding (RES) of polar ice sheets, internal layering is currently under-utilized by glaciologists, due in part to a lack of avail, able data. Here, RES layering of the West Antarctic Ice Sheet, from the 1970s RES survey of approximately 70 per cent of this ice mass, is made available in a series of spreadsheets. Three types of internal layers are evident in the dataset. The first is continuous layers that have a stratigraphic appearance and can often be traced easily for hundreds of kilometres. The second is buckled layering, which also resembles stratigraphy and can sometimes be traced over tens of kilometres (although layer identification can often be difficult). The roughness of these layers is often greater than the bed at the same wavelength. The third is highly distorted or absent layering, which is not possible to trace laterally. Despite debate concerning the origin of RES layers, they are thought by most glaciologists to represent isochronous surfaces. The pattern of internal layering is potentially of importance to glaciologists for three reasons. (1) The position of undeformed layers below the ice surface is a function of accumulation rate, ice flow and basal melting conditions. Numerical modelling (including new 'data assimilation' techniques) could be used to discriminate between these processes, so revealing important information about the ice sheet and its environment. (2) Buckled layers are deformed by ice How process, and so their occurrence can be related to the flow dynamics of the ice sheet. (3) Very buckled layers are often associated with ice stream flow, which allows their location to mark the positions of past and present fast: flowing ice. Copyright (c) 2005 John Wiley &amp; Sons, Ltd.</t>
  </si>
  <si>
    <t>Univ Bristol, Sch Geog Sci, Bristol Glaciol Ctr, Ctr Polar Observ &amp; Modelling, Bristol BS8 1SS, Avon, England; Univ Cambridge, Scott Polar Res Inst, Ctr Polar Observ &amp; Modelling, Cambridge CB2 1ER, England</t>
  </si>
  <si>
    <t>University of Bristol; University of Cambridge</t>
  </si>
  <si>
    <t>Siegert, MJ (corresponding author), Univ Bristol, Sch Geog Sci, Bristol Glaciol Ctr, Ctr Polar Observ &amp; Modelling, Bristol BS8 1SS, Avon, England.</t>
  </si>
  <si>
    <t>m.j.siegert@bristol.ac.uk</t>
  </si>
  <si>
    <t>Siegert, Martin J/A-3826-2008; Siegert, Martin/M-9939-2019</t>
  </si>
  <si>
    <t>Siegert, Martin J/0000-0002-0090-4806; Siegert, Martin/0000-0002-0090-4806; Benham, Toby/0000-0003-2723-1880; Dowdeswell, Julian/0000-0003-1369-9482</t>
  </si>
  <si>
    <t>0197-9337</t>
  </si>
  <si>
    <t>EARTH SURF PROC LAND</t>
  </si>
  <si>
    <t>Earth Surf. Process. Landf.</t>
  </si>
  <si>
    <t>10.1002/esp.1238</t>
  </si>
  <si>
    <t>984SX</t>
  </si>
  <si>
    <t>WOS:000233325700007</t>
  </si>
  <si>
    <t>Jenouvrier, S; Barbraud, C; Weimerskirch, H</t>
  </si>
  <si>
    <t>Long-term contrasted responses to climate of two Antarctic seabird species</t>
  </si>
  <si>
    <t>ECOLOGY</t>
  </si>
  <si>
    <t>Antarctic seabirds; Aptenodytes forsteri; capture-recapture survival analysis; climate variability; demography; Emperor Penguin; matrix models; Pagodroma nivea; population dynamics; prospective and retrospective analysis; Snow Petrel</t>
  </si>
  <si>
    <t>SEA-ICE EXTENT; POPULATION-DYNAMICS; TEMPORAL VARIATION; EMPEROR PENGUINS; TOP PREDATOR; ADELIE LAND; SURVIVAL; CONSEQUENCES; VARIABILITY; SENSITIVITY</t>
  </si>
  <si>
    <t>We examined the population dynamics of two Antarctic seabirds and the influence of environmental variability over a 40-year period by coupling the estimation of demographic parameters, based on capture-recapture data, and modeling, using Leslie matrix population models. We demonstrated that the demographic parameters showing the greatest contribution to the variance of population growth rate were adult survival for both species. Breeding success showed the same contribution as adult survival for Emperor Penguins, whereas the proportion of breeders had the next stronger contribution for Snow Petrels. The sensitivity of population growth rate to adult survival was very high and the adult survival variability was weak for both species. Snow Petrel males survived better than females, whereas Emperor Penguin males had lower survival than females. These differences may be explained by the different investment in breeding. Emperor Penguin adult survival was negatively affected by air temperature during summer and winter for both sexes; male survival was negatively affected by sea ice concentration during summer, autumn, and winter. On the other hand, there was no effect of environmental covariates on Snow Petrel adult survival. The Emperor Penguin population has declined by 50% because of a decrease in adult survival related to a warming event during a regime shift in the late 1970s, whereas Snow Petrels showed their lowest numbers in 1976, but were able to skip reproduction. Indeed, the retrospective analysis of projection population matrix entries indicated that breeding abstention played a critical role in the population dynamics of Snow Petrels but not Emperor Penguins. Snow Petrels did not breed either when air temperature decreased during spring (probably reducing nest attendance and laying) or when sea ice decreased during autumn (reducing food availability). Emperor Penguin and Snow Petrel breeding population sizes were positively influenced by sea ice through its effect on adult survival for Emperor Penguins and on the proportion of breeders for Snow Petrels. Therefore, we hypothesize that the population sizes of the two species could be negatively affected by reduced sea ice in the context of global warming.</t>
  </si>
  <si>
    <t>CNRS, Ctr Etudes Biol Chize, F-79360 Villiers en Bois, France</t>
  </si>
  <si>
    <t>Centre National de la Recherche Scientifique (CNRS)</t>
  </si>
  <si>
    <t>CNRS, Ctr Etudes Biol Chize, F-79360 Villiers en Bois, France.</t>
  </si>
  <si>
    <t>jenouvrier@cebc.cnrs.fr</t>
  </si>
  <si>
    <t>Barbraud, Christophe/A-5870-2012; Weimerskirch, Henri/K-7306-2019; Weimerskirch, Henri/F-5562-2013</t>
  </si>
  <si>
    <t>Barbraud, Christophe/0000-0003-0146-212X; Weimerskirch, Henri/0000-0002-0457-586X; jenouvrier, stephanie/0000-0003-3324-2383</t>
  </si>
  <si>
    <t>0012-9658</t>
  </si>
  <si>
    <t>1939-9170</t>
  </si>
  <si>
    <t>10.1890/05-0514</t>
  </si>
  <si>
    <t>986AB</t>
  </si>
  <si>
    <t>WOS:000233419600006</t>
  </si>
  <si>
    <t>Cordero, RR; Roth, P; Georgiev, A; DaSilva, L</t>
  </si>
  <si>
    <t>Climatology of surface ultraviolet-radiation in Valparaiso, chile</t>
  </si>
  <si>
    <t>ENERGY CONVERSION AND MANAGEMENT</t>
  </si>
  <si>
    <t>UV irradiance; ozone; climatology</t>
  </si>
  <si>
    <t>UV-B IRRADIANCE; ATMOSPHERIC TURBIDITY; SOLAR IRRADIANCE; OZONE; DEPLETION; TRENDS</t>
  </si>
  <si>
    <t>Despite the lack of long-term records, it is possible to describe many of the short term characteristics, dependencies and climatology of surface UV irradiance. This paper describes the climatology of on ground UV irradiance at Valparaiso (33.05 degrees S, 71.63 degrees W, sea level), Chile. The dependence of UV-B irradiance on ozone and on other climate variables is discussed with reference to our observations conducted during the last four years. Special attention was paid to detect ozone events by surface UV irradiance measurements. By analyzing time series of the UV-B/UV-A ratio, we suppressed the cloud variability effect and detected events that implied ozone column changes of about 15%. According to our measurements, during the last four years, the ozone column over Valparaiso was not affected negatively by the Antarctic ozone hole phenomenon. (c) 2005 Elsevier Ltd. All rights reserved.</t>
  </si>
  <si>
    <t>Univ Tecn Federico Santa Maria, Valparaiso, Chile; Escuela Super Politecn Litoral, Guayaquil, Ecuador; Tech Univ Sofia, Plovdiv 4023, Bulgaria</t>
  </si>
  <si>
    <t>Universidad Tecnica Federico Santa Maria; Escuela Superior Politecnica del Litoral; Technical University Sofia</t>
  </si>
  <si>
    <t>Univ Tecn Federico Santa Maria, Ave Espana 1680, Valparaiso, Chile.</t>
  </si>
  <si>
    <t>raul.cordero@usm.cl</t>
  </si>
  <si>
    <t>Cordero, Raul R/M-7979-2017</t>
  </si>
  <si>
    <t>Cordero, Raul R./0000-0001-7607-7993</t>
  </si>
  <si>
    <t>0196-8904</t>
  </si>
  <si>
    <t>1879-2227</t>
  </si>
  <si>
    <t>ENERG CONVERS MANAGE</t>
  </si>
  <si>
    <t>Energy Conv. Manag.</t>
  </si>
  <si>
    <t>18-19</t>
  </si>
  <si>
    <t>10.1016/j.enconman.2005.02.008</t>
  </si>
  <si>
    <t>Thermodynamics; Energy &amp; Fuels; Mechanics</t>
  </si>
  <si>
    <t>940GH</t>
  </si>
  <si>
    <t>WOS:000230131200006</t>
  </si>
  <si>
    <t>Varotsos, C</t>
  </si>
  <si>
    <t>News on the Antarctic Ozone Hole</t>
  </si>
  <si>
    <t>ENVIRONMENTAL SCIENCE AND POLLUTION RESEARCH</t>
  </si>
  <si>
    <t>SPLIT; POLLUTION</t>
  </si>
  <si>
    <t>Univ Athens, Dept Appl Phys, Athens 15784, Greece</t>
  </si>
  <si>
    <t>Univ Athens, Dept Appl Phys, Panepistimiopolis,Bld Phys 5, Athens 15784, Greece.</t>
  </si>
  <si>
    <t>kvarots@cc.uoa.gr</t>
  </si>
  <si>
    <t>Varotsos, Costas/H-6257-2013</t>
  </si>
  <si>
    <t>Varotsos, Costas/0000-0001-7215-3610</t>
  </si>
  <si>
    <t>0944-1344</t>
  </si>
  <si>
    <t>1614-7499</t>
  </si>
  <si>
    <t>ENVIRON SCI POLLUT R</t>
  </si>
  <si>
    <t>Environ. Sci. Pollut. Res.</t>
  </si>
  <si>
    <t>10.1065/espr2005.11.003</t>
  </si>
  <si>
    <t>979JU</t>
  </si>
  <si>
    <t>WOS:000232939000003</t>
  </si>
  <si>
    <t>Bargagli, R; Agnorelli, C; Borghini, F; Monaci, F</t>
  </si>
  <si>
    <t>Enhanced deposition and bioaccumulation of mercury in Antarctic terrestrial ecosystems facing a coastal polynya</t>
  </si>
  <si>
    <t>TERRA-NOVA BAY; ATMOSPHERIC MERCURY; SPRINGTIME DEPLETION; TRACE-METALS; ICE</t>
  </si>
  <si>
    <t>Mercury emitted by anthropogenic and natural sources occurs in the atmosphere mostly in the gaseous elemental form, which has a long lifetime in tropical and temperate regions. Once deposited in terrestrial and aquatic ecosystems the metal is partly re-emitted into the air, thus assuming the characteristics of global pollutants such as persistent volatile chemicals. In polar regions, during and after the sunrise, the photochemically driven oxidation of gaseous Hg by reactive halogens may result in areas of greatly enhanced Hg deposition. Mercury concentrations in soils, lichens, and mosses collected in a stretch between 74 degrees 30' S and 76 degrees 00' S, in ice-free coastal areas of Victoria Land facing the Terra Nova Bay coastal polynya, were higher than typical Antarctic baselines. The finding of enhanced Hg bioaccumulation in Antarctic terrestrial ecosystems facing a coastal polynya strongly supports recent speculations on the role of ice crystals (frost flowers) growing in polynyas as a dominant source of sea salt aerosols and bromine compounds, which are involved in springtime mercury depletion events (MDEs). These results raise concern about the possible environmental effects of changes in regional climate and sea ice coverage, and on the possible role of Antarctica as a sink in the mercury cycle.</t>
  </si>
  <si>
    <t>Univ Siena, Dipartimento Sci Ambientali, I-53100 Siena, Italy</t>
  </si>
  <si>
    <t>University of Siena</t>
  </si>
  <si>
    <t>Univ Siena, Dipartimento Sci Ambientali, Via PA Mattioli 4, I-53100 Siena, Italy.</t>
  </si>
  <si>
    <t>bargagli@unisi.it</t>
  </si>
  <si>
    <t>Monaci, Fabrizio/B-6611-2012</t>
  </si>
  <si>
    <t>Monaci, Fabrizio/0000-0001-5489-1310</t>
  </si>
  <si>
    <t>1520-5851</t>
  </si>
  <si>
    <t>10.1021/es0507315</t>
  </si>
  <si>
    <t>981HJ</t>
  </si>
  <si>
    <t>WOS:000233078000014</t>
  </si>
  <si>
    <t>Fadely, BS; Robson, BW; Sterling, JT; Greig, A; Call, KA</t>
  </si>
  <si>
    <t>Immature Steller sea lion (Eumetopias jubatus) dive activity in relation to habitat features of the eastern Aleutian Islands</t>
  </si>
  <si>
    <t>FISHERIES OCEANOGRAPHY</t>
  </si>
  <si>
    <t>Alaska; foraging behaviour; geographic information system; oceanography; otariid; pinniped; remote sensing; satellite telemetry; satellite tracking</t>
  </si>
  <si>
    <t>ANTARCTIC FUR SEALS; POLLOCK THERAGRA-CHALCOGRAMMA; BERING-SEA; DIVING BEHAVIOR; OCEANOGRAPHIC FEATURES; HARBOR SEALS; ALASKA; POPULATIONS; ROOKERIES; TRANSPORT</t>
  </si>
  <si>
    <t>Current flow and bathymetry in the Aleutian Islands define unique habitats that influence prey distribution and foraging behaviour of top-level predators. We explored whether oceanographic features and bathymetry influenced the diving activity of 30 immature sea lions (ages 5-21 months) equipped with satellite-linked depth recorders in the eastern Aleutian Islands (EAI) during 2000-02. Sea surface temperature (SST) and chlorophyll a concentrations were obtained from remote sensing satellite imagery and associated with locations where sea lion diving was recorded. Most locations associated with diving to &gt; 4 m were within 10 nautical miles (nm) of shore and associated with onshelf waters &lt; 100 m deep. Use of offshore and deeper waters in the Bering Sea increased during May, as did trip durations. General movements at that time were generally northwesterly from the North Pacific Ocean to the Bering Sea. Diving activity varied coincidently with increases in SST and chlorophyll a concentrations, but also with sea lion age. Associations with habitat features did not consistently explain variability in dive count, time at depth, dive focus or focal depth. Nearshore diving tended to be influenced by distance from shore or seafloor depth, whereas increased SST coincided with activity of sea lions diving &gt; 30 nm offshore. Immature sea lions developing into independent foragers in the relatively shallow pass areas of the EAI do so at a time of rapid changes in oceanography and prey availability.</t>
  </si>
  <si>
    <t>NOAA, Fisheries Alaska Fisheries Sci Ctr, Natl Marine Mammal Lab, Seattle, WA 98115 USA; NOAA, Fisheries Alaska Fisheries Sci Ctr, Resource Ecol &amp; Fisheries Management, Seattle, WA 98115 USA</t>
  </si>
  <si>
    <t>National Oceanic Atmospheric Admin (NOAA) - USA; National Oceanic Atmospheric Admin (NOAA) - USA</t>
  </si>
  <si>
    <t>Fadely, BS (corresponding author), NOAA, Fisheries Alaska Fisheries Sci Ctr, Natl Marine Mammal Lab, 7600 Sand Point Way NE, Seattle, WA 98115 USA.</t>
  </si>
  <si>
    <t>brian.fadely@noaa.gov</t>
  </si>
  <si>
    <t>Fadely, Brian S./P-3601-2015</t>
  </si>
  <si>
    <t>Fadely, Brian S./0000-0002-9172-1887</t>
  </si>
  <si>
    <t>1054-6006</t>
  </si>
  <si>
    <t>1365-2419</t>
  </si>
  <si>
    <t>FISH OCEANOGR</t>
  </si>
  <si>
    <t>Fish Oceanogr.</t>
  </si>
  <si>
    <t>10.1111/j.1365-2419.2005.00379.x</t>
  </si>
  <si>
    <t>Fisheries; Oceanography</t>
  </si>
  <si>
    <t>968GG</t>
  </si>
  <si>
    <t>WOS:000232149300016</t>
  </si>
  <si>
    <t>Williams, M; Haywood, AM; Taylor, SP; Valdes, PJ; Sellwood, BW; Hillenbrand, CD</t>
  </si>
  <si>
    <t>Evaluating the efficacy of planktonic foraminifer calcite δ18O data for sea surface temperature reconstruction for the Late Miocene</t>
  </si>
  <si>
    <t>GEOBIOS</t>
  </si>
  <si>
    <t>Late Miocene; planktonic foraminifera; oxygen isotopes; sea surface temperature; taphonomy</t>
  </si>
  <si>
    <t>STABLE-ISOTOPE VARIABILITY; TROPICAL TEMPERATURES; PALEO-OCEANOGRAPHY; PANAMA UPLIFT; NORTH PACIFIC; LATE NEOGENE; OXYGEN; OCEAN; CARBON; ATLANTIC</t>
  </si>
  <si>
    <t>This study examines the efficacy of published delta(18)O data from the calcite of Late Miocene surface dwelling planktonic foraminifer shells, for sea surface temperature estimates for the pre-Quaternary. The data are from 33 Late Miocene (Messinian) marine sites from a modern latitudinal gradient of 64 degrees N to 48 degrees S. They give estimates of SSTs in the tropics/subtropics (to 30 degrees N and S) that are mostly cooler than present. Possible causes of this temperature discrepancy are ecological factors (e.g. calcification of shells at levels below the ocean mixed layer), taphonomic effects (e.g. diagenesis or dissolution), inaccurate estimation of Late Miocene seawater oxygen isotope composition, or a real Late Miocene cool climate. The scale of apparent cooling in the tropics suggests that the SST signal of the foraminifer calcite has been reset, at least in part, by early diagenetic calcite with higher delta(18)O, formed in the foraminifer shells in cool sea bottom pore waters, probably coupled with the effects of calcite formed below the mixed layer during the life of the foraminifera. This hypothesis is supported by the markedly cooler SST estimates from low latitudes-in some cases more than 9 degrees C cooler than present-where the gradients of temperature and the delta(18)O composition of seawater between sea surface and sea bottom are most marked, and where ocean surface stratification is high. At higher latitudes, particularly N and S of 30 degrees, the temperature signal is still cooler, though maximum temperature estimates overlap with modern SSTs N and S of 40 degrees. Comparison of SST estimates for the Late Miocene from alkenone unsaturation analysis from the eastern tropical Atlantic at Ocean Drilling Program (ODP) Site 958-which suggest a warmer sea surface by 2-4 degrees C, with estimates from oxygen isotopes at Deep Sea Drilling Project (DSDP) Site 366 and ODP Site 959, indicating cooler than present SSTs, also Suggest a significant impact on the delta(18)O signal. Nevertheless, much of the original SST variation is clearly preserved in the primary calcite formed in the mixed layer, and records secular and temporal oceanographic changes at the sea surface, such as movement of the Antarctic Polar Front in the Southern Ocean. Cooler SSTs in the tropics and sub-tropics are also consistent with the Late Miocene latitude reduction in the coral reef belt and with interrupted reef growth on the Queensland Plateau of eastern Australia, though it is not possible to quantify absolute SSTs with the existing oxygen isotope data. Reconstruction of an accurate global SST dataset for Neogene time-slices from the existing published DSDP/ODP isotope data, for use in general circulation models, may require a detailed re-assessment of taphonomy at many sites. (c) 2005 Elsevier SAS. All rights reserved.</t>
  </si>
  <si>
    <t>British Antarctic Survey, Geol Sci Div, Cambridge CB3 0ET, England; Univ Reading, Dept Meteorol, Reading RG6 6BB, Berks, England; Univ Bristol, Sch Geol Sci, Bristol BS8 1SS, Avon, England; Sch Human &amp; Environm Sci, Reading RG6 6AB, Berks, England</t>
  </si>
  <si>
    <t>UK Research &amp; Innovation (UKRI); Natural Environment Research Council (NERC); NERC British Antarctic Survey; University of Reading; University of Bristol; University of Reading</t>
  </si>
  <si>
    <t>Univ Portsmouth, Sch Earth &amp; Environm Sci, Burnaby Bldg,Burnaby Rd, Portsmouth PO1 3QL, Hants, England.</t>
  </si>
  <si>
    <t>mark.williams@port.ac.uk</t>
  </si>
  <si>
    <t>Valdes, Paul J/C-4129-2013; Valdes, Paul/T-2004-2019; Williams, Mark/B-7590-2009</t>
  </si>
  <si>
    <t>Valdes, Paul/0000-0002-1902-3283; Williams, Mark/0000-0002-7987-6069</t>
  </si>
  <si>
    <t>0016-6995</t>
  </si>
  <si>
    <t>1777-5728</t>
  </si>
  <si>
    <t>GEOBIOS-LYON</t>
  </si>
  <si>
    <t>Geobios</t>
  </si>
  <si>
    <t>10.1016/j.geobios.2004.12.001</t>
  </si>
  <si>
    <t>994QF</t>
  </si>
  <si>
    <t>WOS:000234045600008</t>
  </si>
  <si>
    <t>Vannier, J; Williams, M; Alvaro, JJ; Vizcaïno, D; Monceret, S; Monceret, E</t>
  </si>
  <si>
    <t>New Early Cambrian bivalved arthropods from Southern France</t>
  </si>
  <si>
    <t>GEOLOGICAL MAGAZINE</t>
  </si>
  <si>
    <t>Cambrian; arthropods; stratigraphy; biogeography; taxonomy</t>
  </si>
  <si>
    <t>FOSSIL LAGERSTATTE; BRADORIIDA; APPENDAGES; MINERALIZATION; KUNMINGELLA; TRILOBITES; OSTRACODS</t>
  </si>
  <si>
    <t>The Lower Cambrian Pardailhan Formation of the Montagne Noire (Southern France) has yielded a diverse fossil assemblage including bivalved arthropods (the bradoriids Monceretia erislylvia gen. et sp. nov., Cambria danvizcainia sp. nov. and Matthoria? sp., together with Isoxys sp.) associated with trilobites, hyolithids, inarticulate brachiopods, sponge spicules, ichnofossils and chancelloriid sclerites. This assemblage provides new evidence about the biodiversity of Early Cambrian marine communities in palaeocontinental Gondwana. The bradoriids are Cambriidae, a family with widespread distribution in offshore shelf marine environments during Early Cambrian times. The present study confirms the presence of cambriids within a subtropical latitudinal belt that encompasses Laurentia, Siberia and the Gondwanan margins from Southern France to South China. Although knowledge of the distribution of fossil cambriids is patchy, at the generic level they appear to be provincial, with Petrianna from Laurentia, Shangsiella and Auriculatella from South China, Cambria from Siberia and Gondwana (Armorica), and Monceretia gen nov. from Gondwana (Armorica). The presence of Isoxys in the Montagne-Noire confirms the cosmopolitan distribution of this genus in the Early and Middle Cambrian tropics. Cambriid bradoriids occupy a biostratigraphically narrow time interval.. probably equating to part of the Atdabanian and Botomian stages of Russian terminology. Their presence in the Pardailhan Formation supports the notion of a Botomian age, determined from archaeocyathan evidence. The North American bradoriid genus Matthoria, also possibly present in the Pardailhan Formation, is reassigned to the Cambriidae.</t>
  </si>
  <si>
    <t>British Antarctic Survey, Geol Sci Div, Cambridge CB3 0ET, England; Univ Lyon 1, UFR Sci Terre, UMR 5125 PEPS, CNRS, F-69622 Villeurbanne, France; Univ Lille 1, UPRESA 8014, CNRS, F-59655 Villeneuve Dascq, France</t>
  </si>
  <si>
    <t>UK Research &amp; Innovation (UKRI); Natural Environment Research Council (NERC); NERC British Antarctic Survey; Universite Claude Bernard Lyon 1; Centre National de la Recherche Scientifique (CNRS); Centre National de la Recherche Scientifique (CNRS); Universite de Lille</t>
  </si>
  <si>
    <t>mwilli@bas.ac.uk</t>
  </si>
  <si>
    <t>Williams, Mark/B-7590-2009</t>
  </si>
  <si>
    <t>Williams, Mark/0000-0002-7987-6069</t>
  </si>
  <si>
    <t>0016-7568</t>
  </si>
  <si>
    <t>1469-5081</t>
  </si>
  <si>
    <t>GEOL MAG</t>
  </si>
  <si>
    <t>Geol. Mag.</t>
  </si>
  <si>
    <t>10.1017/S0016756805001093</t>
  </si>
  <si>
    <t>013TC</t>
  </si>
  <si>
    <t>WOS:000235431400010</t>
  </si>
  <si>
    <t>Heroy, DC; Anderson, JB</t>
  </si>
  <si>
    <t>Ice-sheet extent of the Antarctic Peninsula region during the Last Glacial Maximum (LGM) - Insights from glacial geomorphology</t>
  </si>
  <si>
    <t>GEOLOGICAL SOCIETY OF AMERICA BULLETIN</t>
  </si>
  <si>
    <t>Antarctic Peninsula; deglaciation; geomorphology; glacial geology; glacial sedimentation; ice sheets; ice streams; swath bathymetry</t>
  </si>
  <si>
    <t>PLEISTOCENE-HOLOCENE RETREAT; SEA-FLOOR EVIDENCE; PINE ISLAND BAY; ROSS SEA; SEDIMENTARY PROCESSES; SEISMIC STRATIGRAPHY; CONTINENTAL-SHELF; MELTING HISTORY; BENEATH; SYSTEM</t>
  </si>
  <si>
    <t>We present marine geological and geophysical data for the Antarctic Peninsula that call for a larger ice-sheet reconstruction during the Last Glacial Maximum (LGM) than suggested by previous studies. Such glacial reconstructions are important for quantifying post-LGM sea-level rise and providing boundary conditions for general circulation models. Megascale glacial lineations on the continental shelf surrounding Antarctica provide documentation for grounded ice that was streaming. Swath bathymetry data (NBP0201) reveal lineations in each of the major glacial troughs, except for Smith Trough, which features grooves and bedrock drumlins (0.53 km spacing, 1:20 elongation ratios) on crystalline bedrock. We place the maximum extent of ice at the seaward limit of the lineations, at or near (&lt; 10 kin landward of) the shelf break. The occurrence of line-sourced gullies at the mouth of each glacial trough (except Vega Trough, Weddell Sea) supports the interpretation of ice grounded at the shelf break. Megascale glacial lineations imaged in this study and other areas surrounding Antarctica (including the Ross Sea, Pine Island Bay) have a consistent morphology, with elongation ratios of &gt; 80:1 and spacings of 200-600 in (mode of 300 in). In contrast, lineations (bundles; Canals et al., 2000) in the Gerlache-Boyd Trough exhibit larger spacing (1-5 km), and the upstream portions (similar to 7 km) are carved directly into bedrock rather than till, as suggested by previously unpublished air gun (similar to 120 Hz) seismic data. These features have yet to be dated; however, they are believed to have been active during the LGM. Radiocarbon dates in glaciomarine sediments (foraminifera and organic matter) from seven glacial troughs indicate that megascale glacial lineations were formed during the LGM. Other geomorphic features, such as the grounding zone wedge in the northwestern Weddell Sea, formed when the ice sheet was retreating. The initial retreat of the grounded ice from the outer shelf occurred by 18,500 cal yr B.P. The inner shelf was mostly ice free by 13,000 cal yr B.P. This is significantly earlier than numerical models, which suggest Antarctic deglaciation began at 12,000 cal yr B.P. This also suggests the peninsula area contributed to global sea-level rise associated with meltwater pulse (MWP) la.</t>
  </si>
  <si>
    <t>Rice Univ, Dept Earth Sci, Houston, TX 77005 USA</t>
  </si>
  <si>
    <t>Rice Univ, Dept Earth Sci, POB 1892,6100 Main St, Houston, TX 77005 USA.</t>
  </si>
  <si>
    <t>heroy@rice.edu; johna@rice.edu</t>
  </si>
  <si>
    <t>Anderson, John/B-1011-2012</t>
  </si>
  <si>
    <t>0016-7606</t>
  </si>
  <si>
    <t>1943-2674</t>
  </si>
  <si>
    <t>GEOL SOC AM BULL</t>
  </si>
  <si>
    <t>Geol. Soc. Am. Bull.</t>
  </si>
  <si>
    <t>10.1130/B25694.1</t>
  </si>
  <si>
    <t>981FH</t>
  </si>
  <si>
    <t>WOS:000233072400009</t>
  </si>
  <si>
    <t>Reubi, O; Ross, PS; White, JDL</t>
  </si>
  <si>
    <t>Debris avalanche deposits associated with large igneous province volcanism: An example from the Mawson Formation, central Allan Hills, Antarctica</t>
  </si>
  <si>
    <t>debris avalanche; Mawson Formation; Ferrar; large igneous province; Allan Hills; Antarctica</t>
  </si>
  <si>
    <t>VICTORIA-LAND; TRANSANTARCTIC MOUNTAINS; TRANSPORT MECHANISMS; CARAPACE NUNATAK; CANTAL VOLCANO; COOMBS HILLS; SWISS ALPS; BASALT; EMPLACEMENT; ORIGIN</t>
  </si>
  <si>
    <t>An up-to-180-m-thick debris avalanche deposit related to Ferrar large igneous province magmatism is observed at central Allan Hills, Antarctica. This Jurassic debris avalanche deposit forms the lower part (member m,) of the Mawson Formation and is overlain by thick volcaniclastic layers containing a mixture of basaltic and sedimentary debris (member m(2)). The m(1) deposit consists of a chaotic assemblage of breccia panels and megablocks up to 80 m across. In contrast to m(2)' it is composed essentially of sedimentary material derived from the underlying Beacon Supergroup. The observed structures and textures suggest that the breccias in m, were mostly produced by progressive fragmentation of megablocks during transport but also to a lesser extent by disruption and ingestion of the substrate by the moving debris avalanche. The upper surface of the debris avalanche deposit lacks large hummocks, and sandstone breccias dominate volumetrically over megablocks within the deposits. This indicates pervasive and relatively uniform fragmentation of the moving mass and probably reflects the weak and relatively homogenous nature of the material involved. The avalanche flowed into a preexisting topographic depression carved into the Beacon sequence, and flow indicators reveal a northeastward movement. The source area is probably now hidden under the Antarctic ice sheet. Sparse basaltic bodies, which were hot and plastic during transport in m(1), reveal the role of Ferrar magmatism in triggering the avalanche, possibly in relation to the emplacement of large subsurface intrusions. The documented deposits indicate that debris avalanches are among the various phenomena that can accompany the early stages of large igneous province magmatism, despite the common absence of large central volcanic edifices. Where large igneous provinces develop in association with faulting or slow preeruptive uplift accompanied by deep valley incision, there is a high probability that feeder dikes will approach the surface in areas of steep topography, allowing volcano-seismicity and fluid overpressures associated with intrusion to effectively trigger avalanches.</t>
  </si>
  <si>
    <t>Univ Otago, Dept Geol, Dunedin 9001, New Zealand</t>
  </si>
  <si>
    <t>University of Otago</t>
  </si>
  <si>
    <t>Univ Otago, Dept Geol, POB 56, Dunedin 9001, New Zealand.</t>
  </si>
  <si>
    <t>p_s_ross@hotmail.com</t>
  </si>
  <si>
    <t>Ross, Pierre-Simon/ABD-2351-2021; White, James Daniel Lee/D-7751-2013</t>
  </si>
  <si>
    <t>Ross, Pierre-Simon/0000-0002-5302-698X; White, James Daniel Lee/0000-0002-2970-711X; Reubi, Olivier/0000-0003-1121-914X</t>
  </si>
  <si>
    <t>10.1130/B25766.1</t>
  </si>
  <si>
    <t>WOS:000233072400015</t>
  </si>
  <si>
    <t>Pollard, D; DeConto, RM; Nyblade, AA</t>
  </si>
  <si>
    <t>Sensitivity of Cenozoic Antarctic ice sheet variations to geothermal heat flux</t>
  </si>
  <si>
    <t>GLOBAL AND PLANETARY CHANGE</t>
  </si>
  <si>
    <t>Antarctica; Cenozoic; ice sheets; geothermal beat flow</t>
  </si>
  <si>
    <t>LAST GLACIAL MAXIMUM; ATMOSPHERIC CARBON-DIOXIDE; THERMAL ZONES BENEATH; EAST ANTARCTICA; MASS-BALANCE; LAKE VOSTOK; STREAM-C; CLIMATE; EVOLUTION; MODEL</t>
  </si>
  <si>
    <t>The sensitivity of long-term Cenozoic variations of the East Antarctic ice sheet to geothermal heat flux is investigated, using a coupled climate-ice sheet model with various prescribed values and patterns of geothermal heat flux. The sudden growth of major ice across the Eocene-Oligocene boundary (similar to 34 Ma) is used as a test bed for this sensitivity. A suite of several million year-long simulations spanning the transition is performed, with various geothermal heat flux magnitudes and spatial distributions reflecting current uncertainty. The climate-ice sheet model simulates the Eocene-Oligocene transition realistically as a non-linear ice-sheet response to orbital perturbations and a long-tenn gradual decline of atmospheric CO2. It is found that reasonable variations of geothermal heat flux have very little effect on overall ice volumes and extents, and on the timing of major ice transitions. However, they cause large changes in basal areas at the pressure melting point at a given time, which could strongly influence other aspects of Cenozoic Antarctic evolution such as basal hydrology, sediment deformation and discharge, subglacial lakes, and basal erosional forms. (c) 2005 Elsevier B.V. All rights reserved.</t>
  </si>
  <si>
    <t>Penn State Univ, Earth &amp; Environm Syst Inst, University Pk, PA 16802 USA; Univ Massachusetts, Dept Geosci, Amherst, MA 01003 USA; Penn State Univ, Coll Earth &amp; Mineral Sci, Dept Geosci, University Pk, PA 16802 USA</t>
  </si>
  <si>
    <t>Pennsylvania Commonwealth System of Higher Education (PCSHE); Pennsylvania State University; Pennsylvania State University - University Park; University of Massachusetts System; University of Massachusetts Amherst; Pennsylvania Commonwealth System of Higher Education (PCSHE); Pennsylvania State University; Pennsylvania State University - University Park</t>
  </si>
  <si>
    <t>Penn State Univ, Earth &amp; Environm Syst Inst, University Pk, PA 16802 USA.</t>
  </si>
  <si>
    <t>pollard@essc.psu.edu; deconto@geo.umass.edu; andy@geosc.psu.edu</t>
  </si>
  <si>
    <t>0921-8181</t>
  </si>
  <si>
    <t>1872-6364</t>
  </si>
  <si>
    <t>GLOBAL PLANET CHANGE</t>
  </si>
  <si>
    <t>Glob. Planet. Change</t>
  </si>
  <si>
    <t>10.1016/j.gloplacha.2005.05.003</t>
  </si>
  <si>
    <t>987MX</t>
  </si>
  <si>
    <t>WOS:000233523100005</t>
  </si>
  <si>
    <t>Gilli, A; Ariztegui, D; Anselmetti, FS; McKenzie, JA; Markgraf, V; Hajdas, I; McCulloch, RD</t>
  </si>
  <si>
    <t>Mid-Holocene strengthening of the Southern westerlies in South America -: Sedimentological evidences from Lago Cardiel, Argentina (49°S)</t>
  </si>
  <si>
    <t>closed lake basin; magnetic susceptibility; wind intensity; Southern Westerlies; paleoclimate; Patagonia</t>
  </si>
  <si>
    <t>CLIMATE-CHANGE; PALYNOLOGICAL EVIDENCE; HOLOCENE CLIMATE; LATE PLEISTOCENE; ATLANTIC SECTOR; AGE CALIBRATION; MARINE RECORD; EL-NINO; CHILE; VARIABILITY</t>
  </si>
  <si>
    <t>The paleoclimatic evolution of southern South America is characterized to a large extent by the behavior (strength and latitudinal position) of the storm tracks of the Southern Westerlies. Our study site, Lago Cardiel (49 degrees S), lies within the modem influence of the Southern Westerlies and, therefore, is ideally located to track the past migrations of these storm tracks. With a coring strategy taking into account the lateral differences in sedimentation and an excellent core-to-core correlation using tephra layers, a composite sedimentological record of almost 25 m was established covering the last similar to 16,000 cal yr. Sedimentological and petrophysical analysis of the cores revealed the establishment of a dominant lake current since 6800 cal yr BP leading to a drift deposition, which is especially well-expressed in the sedimentary record by an increase in magnetic susceptibility values. As this pattern of currents is most likely induced by wind activity, we propose that the observed increase in magnetic susceptibility documents an intensification of the westerly storm tracks. This intensification occurred slightly earlier than previously suggested based on palynological evidence. The strengthening in the Southern Westerlies during the mid-Holocene is most likely caused by an increase in the temperature gradient as a result of enhanced influence and/or southward migration of the Southeast Pacific anticyclone and a larger Antarctic sea-ice extent. (c) 2005 Elsevier B.V. All rights reserved.</t>
  </si>
  <si>
    <t>Swiss Fed Inst Technol, ETHZ, Inst Geol, CH-8092 Zurich, Switzerland; Univ Geneva, Inst FA Forel, CH-1205 Geneva, Switzerland; Univ Geneva, Dept Geol &amp; Paleontol, CH-1205 Geneva, Switzerland; Univ Colorado, Inst Arctic &amp; Alpine Res, Boulder, CO 80309 USA; PSI ETH AMS, HPK, 14C Lab Honggerberg, HPK, CH-8093 Zurich, Switzerland; Univ Stirling, Sch Biol &amp; Environm Sci, Stirling FK9 4LA, Scotland</t>
  </si>
  <si>
    <t>Swiss Federal Institutes of Technology Domain; ETH Zurich; University of Geneva; University of Geneva; University of Colorado System; University of Colorado Boulder; Swiss Federal Institutes of Technology Domain; ETH Zurich; University of Stirling</t>
  </si>
  <si>
    <t>Univ Florida, Dept Geol Sci, Gainesville, FL 32611 USA.</t>
  </si>
  <si>
    <t>agilli@geology.ufl.edu</t>
  </si>
  <si>
    <t>Hajdas, Irka/C-6696-2011; Gilli, Adrian/B-5238-2014</t>
  </si>
  <si>
    <t>Hajdas, Irka/0000-0003-2373-2725; Gilli, Adrian/0000-0003-4193-2157; McCulloch, Robert/0000-0001-5542-3703; Anselmetti, Flavio/0000-0002-8785-3641</t>
  </si>
  <si>
    <t>10.1016/j.gloplacha.2005.05.004</t>
  </si>
  <si>
    <t>WOS:000233523100006</t>
  </si>
  <si>
    <t>Chown, SL; Hull, B; Gaston, KJ</t>
  </si>
  <si>
    <t>Human impacts, energy availability and invasion across Southern Ocean Islands</t>
  </si>
  <si>
    <t>GLOBAL ECOLOGY AND BIOGEOGRAPHY</t>
  </si>
  <si>
    <t>biological invasions; disturbance; diversity; human history; insects; introduced species; propagule pressure; vascular plants</t>
  </si>
  <si>
    <t>HUMAN-POPULATION SIZE; SPECIES RICHNESS; MARION ISLAND; ECOLOGICAL BIOGEOGRAPHY; BIOLOGICAL INVASIONS; GLOBAL PATTERNS; PLANT INVASIONS; 1ST RECORD; DIVERSITY; CONSERVATION</t>
  </si>
  <si>
    <t>Aim Ongoing biological invasions will enhance the impacts of humans on biodiversity. Nonetheless, the effects of exotic species on diversity are idiosyncratic. Increases in diversity might be a consequence of similar responses by species to available energy, or because of positive relationships between human density, energy and propagule pressure. Here we use data from the Southern Ocean island plants and insects to investigate these issues. Location The Southern Ocean Islands ranging from Tristan da Cunha to Heard Island and South Georgia. Methods Generalized linear models are used to explore the relationships between indigenous and exotic species richness for plants and insects on two different islands. Similar models are used to examine interactions between indigenous and exotic species richness, energy availability and propagule pressure at the regional scale. Results Positive relationships were found between indigenous and exotic species richness at local scales, although for plants, the relationship was partially triangular. Across the Southern Ocean Islands, there was strong positive covariation between indigenous and exotic plant species richness and insect species richness, even taking spatial autocorrelation into account. Both exotic and indigenous plant and insect species richness covaried with energy availability, as did human visitor frequency. When two islands with almost identical numbers of human visits were contrasted, it was clear that energy availability, or perhaps differences in climate-matching, were responsible for differences in the extent of invasion. Conclusion In plants and insects, there are positive relationships between indigenous and exotic diversity at local and regional scales across the Southern Ocean islands. These relationships are apparently a consequence of similar responses by both groups and by human occupants to available energy. When visitor frequency is held constant, energy availability is the major correlate of exotic species richness, though the exact mechanistic cause of this relationship requires clarification.</t>
  </si>
  <si>
    <t>Univ Stellenbosch, Ctr Invas Biol, Spatial Physiol &amp; Conservat Ecol Grp, ZA-7602 Matieland, South Africa; Australian Antarctic Div, Kingston, Tas 7050, Australia; Univ Sheffield, Dept Anim &amp; Plant Sci, Biodivers &amp; Macroecol Grp, Sheffield S10 2TN, S Yorkshire, England</t>
  </si>
  <si>
    <t>Stellenbosch University; Australian Antarctic Division; University of Sheffield</t>
  </si>
  <si>
    <t>Univ Stellenbosch, DST Ctr Excellence Invas Biol, Private Bag X1, ZA-7602 Matieland, South Africa.</t>
  </si>
  <si>
    <t>slchown@sun.ac.za</t>
  </si>
  <si>
    <t>Chown, Steven/ABD-7646-2021; Chown, Steven L/H-3347-2011</t>
  </si>
  <si>
    <t>1466-822X</t>
  </si>
  <si>
    <t>1466-8238</t>
  </si>
  <si>
    <t>GLOBAL ECOL BIOGEOGR</t>
  </si>
  <si>
    <t>Glob. Ecol. Biogeogr.</t>
  </si>
  <si>
    <t>10.1111/j.1466-822x.2005.00173.x</t>
  </si>
  <si>
    <t>Ecology; Geography, Physical</t>
  </si>
  <si>
    <t>976ZQ</t>
  </si>
  <si>
    <t>WOS:000232772600003</t>
  </si>
  <si>
    <t>Rodríguez, E; López-González, PJ</t>
  </si>
  <si>
    <t>New record of the sea anemone Kadosactis antarctica (Carlgren, 1928):: re-description of an Antarctic deep-sea sea anemone, and a discussion of its generic and familial placement</t>
  </si>
  <si>
    <t>HELGOLAND MARINE RESEARCH</t>
  </si>
  <si>
    <t>Kadosactis; Kadosactidae; Sagartiogeton; Actiniaria; deep-sea; South Shetland Islands</t>
  </si>
  <si>
    <t>PART II; CLASSIFICATION; FORMS; NEMATOCYSTS</t>
  </si>
  <si>
    <t>Sagartiogeton antarcticus Carlgren, 1928 is an Antarctic deep-sea species of sea anemone only known from its holotype. The species has been assigned to the genera Sagartiogeton and Kadosactis, and is currently placed within the family Kadosactidae Riemann-Zurneck, 1991. Kadosactis antarctica is re- described based on 11 specimens collected during the cruise of the R/V Polarstern ANT XIX/3 (ANDEEP-I) to the Scotia Sea and off the South Shetland Islands (Antarctica). The description includes a complete account of cnidae and photographs. Because the mesogloea is thickened on the aboral surface on the base of the tentacles, this feature becomes a generic character of Kadosactis rather than a differential specific character among the species of the genus as previously proposed. Furthermore, the known distribution of the species is enlarged to include the southern branch of the Scotia Sea.</t>
  </si>
  <si>
    <t>CSIC, CMIMA, Inst Ciencies Mar, Dept Biol Marina &amp; Oceanog, E-08003 Barcelona, Spain; Univ Sevilla, Fac Biol Biodiversidad &amp; Ecol Invertebrados Marin, Dept Fisiol &amp; Zool, E-41012 Seville, Spain</t>
  </si>
  <si>
    <t>Consejo Superior de Investigaciones Cientificas (CSIC); CSIC - Centro Mediterraneo de Investigaciones Marinas y Ambientales (CMIMA); CSIC - Instituto de Ciencias del Mar (ICM); University of Sevilla</t>
  </si>
  <si>
    <t>CSIC, CMIMA, Inst Ciencies Mar, Dept Biol Marina &amp; Oceanog, Passeig Maritim Barceloneta 37-49, E-08003 Barcelona, Spain.</t>
  </si>
  <si>
    <t>fani@us.es</t>
  </si>
  <si>
    <t>Lopez-González, Pablo J./Y-6440-2018</t>
  </si>
  <si>
    <t>Lopez-González, Pablo J./0000-0002-7348-6270</t>
  </si>
  <si>
    <t>BMC</t>
  </si>
  <si>
    <t>CAMPUS, 4 CRINAN ST, LONDON N1 9XW, ENGLAND</t>
  </si>
  <si>
    <t>1438-387X</t>
  </si>
  <si>
    <t>1438-3888</t>
  </si>
  <si>
    <t>HELGOLAND MAR RES</t>
  </si>
  <si>
    <t>Helgoland Mar. Res.</t>
  </si>
  <si>
    <t>10.1007/s10152-005-0005-4</t>
  </si>
  <si>
    <t>980BH</t>
  </si>
  <si>
    <t>WOS:000232988400005</t>
  </si>
  <si>
    <t>Bandera, ME; Conradi, M; López-González, PJ</t>
  </si>
  <si>
    <t>Asterocheres hirsutus, a new species of parasitic copepod (Siphonostomatoida: Asterocheridae) associated with an Antarctic hexactinellid sponge</t>
  </si>
  <si>
    <t>asterocherid siphonostomatoid; hexactinellid sponge; symbiosis; Antarctica</t>
  </si>
  <si>
    <t>SEA</t>
  </si>
  <si>
    <t>The asterocherid siphonostomatoid copepod Asterocheres hirsutus, a new species, is described from a hexactinellid sponge of the genus Rossella Carter collected during the Polastern cruise ANT XVII/3, off South Shetland Islands. The distinctive features of this new species are: a female with 21-segmented and a male with 17-segmented antennules, praecoxal endite of maxillule more than four times longer than palp and the ornamentation of the posterior surface of legs 1-4. A detailed description of both sexes is presented.</t>
  </si>
  <si>
    <t>Univ Sevilla, Fac Biol, Dept Fisiol &amp; Zool, E-41012 Seville, Spain</t>
  </si>
  <si>
    <t>University of Sevilla</t>
  </si>
  <si>
    <t>Bandera, ME (corresponding author), Univ Sevilla, Fac Biol, Dept Fisiol &amp; Zool, Reina Mercedes 6, E-41012 Seville, Spain.</t>
  </si>
  <si>
    <t>ebandera@us.es</t>
  </si>
  <si>
    <t>Lopez-González, Pablo J./Y-6440-2018; Conradi Barrena, Mercedes/L-3207-2017</t>
  </si>
  <si>
    <t>Lopez-González, Pablo J./0000-0002-7348-6270; Conradi Barrena, Mercedes/0000-0001-9458-303X</t>
  </si>
  <si>
    <t>10.1007/s10152-005-0007-2</t>
  </si>
  <si>
    <t>WOS:000232988400007</t>
  </si>
  <si>
    <t>Jana, PK; Nandi, SC</t>
  </si>
  <si>
    <t>Depletion of ozone and its effect on night airglow intensity of Na 5893A° at New Delhi (29°N, 77°E) and Halley Bay(76° S, 27° W)</t>
  </si>
  <si>
    <t>INDIAN JOURNAL OF PHYSICS AND PROCEEDINGS OF THE INDIAN ASSOCIATION FOR THE CULTIVATION OF SCIENCE</t>
  </si>
  <si>
    <t>airglow; ozone depletion</t>
  </si>
  <si>
    <t>EMISSIONS; SODIUM</t>
  </si>
  <si>
    <t>The paper presents the effect of O-3 depletion on night airglow emission of Na 5893A degrees line at New Delhi (29 degrees N, 77 degrees E), India and Halley Bay (76 degrees S, 27 degrees W), a British Antarctic Survey Station. Calculations based on chemical kinetics reveal that the airglow intensity of Na 5893A degrees, line is also affected due to ozone decline. The nature of yearly variation and seasonal variation of intensity of Na 5893A degrees line for the above two stations have been studied and compared. It is observed that the rate of decrease of yearly intensity of Na 5893A degrees, line is comparatively more at Halley Bay due to dramatic decrease of Antarctic 0, concentration. A possible explanation for the dramatic decrease of Antarctic O-3 concentration is also mentioned.</t>
  </si>
  <si>
    <t>Inst Educ PG Women, Dept Chem, Hooghly 712138, W Bengal, India; Serampore High Sch, Hooghly 712201, W Bengal, India</t>
  </si>
  <si>
    <t>Jana, PK (corresponding author), Inst Educ PG Women, Dept Chem, Hooghly 712138, W Bengal, India.</t>
  </si>
  <si>
    <t>INDIAN ASSOC CULTIVATION SCIENCE</t>
  </si>
  <si>
    <t>KOLKATA</t>
  </si>
  <si>
    <t>INDIAN J PHYSICS, JADAVPUR, KOLKATA 700 032, INDIA</t>
  </si>
  <si>
    <t>0973-1458</t>
  </si>
  <si>
    <t>INDIAN J PHYS</t>
  </si>
  <si>
    <t>Indian J. Phys.</t>
  </si>
  <si>
    <t>991GU</t>
  </si>
  <si>
    <t>WOS:000233801200012</t>
  </si>
  <si>
    <t>Treonis, AM; Wall, DH</t>
  </si>
  <si>
    <t>Soil nematodes and desiccation survival in the extreme arid environment of the Antarctic dry valleys</t>
  </si>
  <si>
    <t>Annual Meeting of the Society-for-Integrative-and-Comparative-Biology (SICB)</t>
  </si>
  <si>
    <t>JAN 04-08, 2005</t>
  </si>
  <si>
    <t>EVAPORATIVE WATER-LOSS; TAYLOR VALLEY; ORGANIC-MATTER; ANHYDROBIOTIC SURVIVAL; TERRESTRIAL NEMATODES; COMMUNITY STRUCTURE; DESERT SOILS; BIODIVERSITY; TOLERANCE; BIOGEOCHEMISTRY</t>
  </si>
  <si>
    <t>Soil nematodes are capable of employing an anhydrobiotic survival strategy in response to adverse environmental conditions. The McMurdo Dry Valleys of Antarctica represent a unique environment for the study of anhydrobiosis because extremes of cold, salinity, and aridity combine to limit biological water availability. We studied nematode anhydrobiosis in Taylor Valley, Antarctica, using natural variation in soil properties. The coiled morphology of nematodes extracted from dry valley soils suggests that they employ anhydrobiosis, and these coiled nematodes showed enhanced revival when re-hydrated in water as compared to vermiform nematodes. Nematode coiling was correlated with soil moisture content, salinity, and water potential. In the driest soils studied (gravimetric water content &lt;2%), 20-80% of nematodes were coiled. Soil water potential measurements also showed a high degree of variability. These measurements reflect microsite variation in soil properties that occurs at the scale of the nematode. We studied nematode anhydrobiosis during the austral summer, and found that the proportion of nematodes coiled can vary diurnally, with more nematodes vermiform and presumably active at the warmest time of day. However, dry valley nematodes uncoiled rapidly in response to soil wetting from snowmelt, and most nematode activity in the Dry Valleys may be confined to periods following rare snowfall and melting events. Anhydrobiosis represents an important temporal component of a dry valley nematode's life span. The ability to utilize anhydrobiosis plays a significant role in the widespread distribution and success of these organisms in the Antarctic Dry Valleys and beyond.</t>
  </si>
  <si>
    <t>Univ Richmond, Dept Biol, Richmond, VA 23173 USA; Colorado State Univ, Nat Resource Ecol Lab, Ft Collins, CO 80523 USA</t>
  </si>
  <si>
    <t>University of Richmond; Colorado State University</t>
  </si>
  <si>
    <t>Univ Richmond, Dept Biol, Richmond, VA 23173 USA.</t>
  </si>
  <si>
    <t>atreonis@richmond.edu</t>
  </si>
  <si>
    <t>10.1093/icb/45.5.741</t>
  </si>
  <si>
    <t>997IY</t>
  </si>
  <si>
    <t>WOS:000234240100009</t>
  </si>
  <si>
    <t>Van Trappen, S; Tan, TL; Samyn, E; Vandamme, P</t>
  </si>
  <si>
    <t>Alcaligenes aquatilis sp nov., a novel bacterium from sediments of the Weser Estuary, Germany, and a salt marsh on Shem Creek in Charleston Harbor, USA</t>
  </si>
  <si>
    <t>HUMAN CLINICAL-SAMPLES; ANTARCTIC LAKES; MICROBIAL MATS; DNA; SEQUENCES; STRAINS</t>
  </si>
  <si>
    <t>Four nitrite-dissimilating strains, isolated from Weser Estuary sediments, were investigated using a polyphasic taxonomic approach. Phylogenetic analysis based on 16S rRNA gene sequences indicated that these strains belong to the 'Betaproteobacteria' and are related to the genus Alcaligenes. The highest level of sequence similarity (100%) was found with strain M3A (=ATCC 700596), a dimethyl sulfide-producing marine isolate that was included in this study. DNA-DNA hybridizations between the five strains and related Alcaligenes faecalis strains confirmed that the former belong to a single and novel species within the genus Alcaligenes. The isolates are Gram-negative, motile, rod-shaped cells with a DNA G+C content of about 56 mol%. The whole-cell fatty acid profiles of the isolates were very similar and included C-16:0, C-17:0 cyclo, C(18:1)omega 7c, summed feature 2 (comprising any combination of C-12:0 aldehyde, an unknown fatty acid of equivalent chain length 10(.)928, C-16:1 iso I and C-14:0 3-OH) and summed feature 3 (C-15:0 iso 2-OH and/or C(16:1)omega 7c) as the major fatty acid components. On the basis of their phylogenetic, genomic and phenotypic properties, the five novel strains can be assigned to the genus Alcaligenes as a novel species, for which the name Alcaligenes aquatilis sp. nov. is proposed. The type strain is LMG 22996(T) (=CCUG 50924(T)).</t>
  </si>
  <si>
    <t>State Univ Ghent, Microbiol Lab, Vakgrp Biochem Fysiol Microbiol, B-9000 Ghent, Belgium; State Univ Ghent, BCCM LMG Bacteria Collect, B-9000 Ghent, Belgium; Alfred Wegener Inst Polar &amp; Marine Res, Bremerhaven, Germany</t>
  </si>
  <si>
    <t>Ghent University; Ghent University; Helmholtz Association; Alfred Wegener Institute, Helmholtz Centre for Polar &amp; Marine Research</t>
  </si>
  <si>
    <t>Van Trappen, S (corresponding author), State Univ Ghent, Microbiol Lab, Vakgrp Biochem Fysiol Microbiol, B-9000 Ghent, Belgium.</t>
  </si>
  <si>
    <t>stefanie.vantrappen@ugent.be</t>
  </si>
  <si>
    <t>Vandamme, Peter/ABG-3431-2021; Vandamme, Peter AR/B-7967-2009</t>
  </si>
  <si>
    <t>Vandamme, Peter AR/0000-0002-5581-7937; Van Trappen, Stefanie/0000-0002-7431-4606</t>
  </si>
  <si>
    <t>SOC GENERAL MICROBIOLOGY</t>
  </si>
  <si>
    <t>READING</t>
  </si>
  <si>
    <t>MARLBOROUGH HOUSE, BASINGSTOKE RD, SPENCERS WOODS, READING RG7 1AG, BERKS, ENGLAND</t>
  </si>
  <si>
    <t>10.1099/ijs.0.63849-0</t>
  </si>
  <si>
    <t>985AT</t>
  </si>
  <si>
    <t>WOS:000233349200054</t>
  </si>
  <si>
    <t>Moller, AP; Mousseau, TA; Milinevsky, G; Peklo, A; Pysanets, E; Szép, T</t>
  </si>
  <si>
    <t>Condition, reproduction and survival of barn swallows from Chernobyl</t>
  </si>
  <si>
    <t>JOURNAL OF ANIMAL ECOLOGY</t>
  </si>
  <si>
    <t>antioxidants; body condition; clutch size; hatching success; Hirundo rustica; nonbreeding; population change; survival</t>
  </si>
  <si>
    <t>HIRUNDO-RUSTICA; SEXUAL SELECTION; CAPTURE-RECAPTURE; MARKED ANIMALS; MUTATION-RATE; CANCER RISK; CHILDREN; RADIATION; ANTIOXIDANTS; ACCIDENT</t>
  </si>
  <si>
    <t>1. We investigated the relationship between radiation arising from the fall-out due to the explosion of the nuclear reactor at Chernobyl, Ukraine, and body condition, rate of reproduction and survival in a migratory passerine bird, the barn swallow Hirundo rustica L., by comparing a contaminated region and a control region (Kanev) during 6 years between 1991 and 2004. 2. The fraction of nonreproducing adults was on average 23% in Chernobyl compared with close to zero in Kanev and other European populations. 3. Body condition as estimated from body mass was similar in Chernobyl and Kanev. Although laying date did not differ significantly between the two regions, clutch was reduced by 7%, brood size by 14% and hatching success by 5% in the Chernobyl region relative to the control area. 4. Annual adult survival, estimated from mark-recapture analyses, was on average 28% in the Chernobyl region, but 40% in Kanev. 5. The relationships were generally confirmed in rank correlation analyses between response variables and ambient radiation levels in different colonies. 6. The overall findings are consistent with the hypothesis that radioactive contamination in the Chernobyl region has significant negative impact on rates of reproduction and survival of the barn swallow. We hypothesize that these effects are mediated by antioxidants and/or mutations.</t>
  </si>
  <si>
    <t>Univ Paris 06, Lab Parasitol Evolut, CNRS, UMR 7103, F-75252 Paris, France; Univ S Carolina, Dept Biol Sci, Columbia, SC 29208 USA; Ukrainian Antarctic Ctr, UA-01601 Kiev, Ukraine; Natl Acad Sci Ukraine, Natl Museum Nat Hist, Zool Museum, UA-01030 Kiev, Ukraine; Coll Nyiregyhaza, Dept Environm Sci, H-4401 Nyiregyhaza, Hungary</t>
  </si>
  <si>
    <t>Centre National de la Recherche Scientifique (CNRS); Sorbonne Universite; University of South Carolina System; University of South Carolina Columbia; Ministry of Education &amp; Science of Ukraine; State Institution National Antarctic Scientific Center; National Academy of Sciences Ukraine; National Museum of Natural History, NAS of Ukraine</t>
  </si>
  <si>
    <t>Moller, AP (corresponding author), Univ Paris 06, Lab Parasitol Evolut, CNRS, UMR 7103, 7 Quai St Bernard,Case 237, F-75252 Paris, France.</t>
  </si>
  <si>
    <t>amoller@snv.jussieu.fr</t>
  </si>
  <si>
    <t>Moller, Anders/O-6665-2016; Szép, Tibor/HTN-1072-2023; Mousseau, Timothy A/A-1253-2011; Milinevsky, Gennadi/AAD-8801-2019</t>
  </si>
  <si>
    <t>Milinevsky, Gennadi/0000-0002-2342-2615; Mousseau, Timothy/0000-0002-2235-4868</t>
  </si>
  <si>
    <t>0021-8790</t>
  </si>
  <si>
    <t>J ANIM ECOL</t>
  </si>
  <si>
    <t>J. Anim. Ecol.</t>
  </si>
  <si>
    <t>10.1111/j.1365-2656.2005.01009.x</t>
  </si>
  <si>
    <t>980DW</t>
  </si>
  <si>
    <t>WOS:000232995200011</t>
  </si>
  <si>
    <t>Moline, MA; Blackwell, SM; Von Alt, C; Allen, B; Austin, T; Case, J; Forrester, N; Goldsborough, R; Purcell, M; Stokey, R</t>
  </si>
  <si>
    <t>Remote environmental monitoring units: An autonomous vehicle for characterizing coastal environments</t>
  </si>
  <si>
    <t>JOURNAL OF ATMOSPHERIC AND OCEANIC TECHNOLOGY</t>
  </si>
  <si>
    <t>UNDERWATER VEHICLES; ANTARCTIC KRILL</t>
  </si>
  <si>
    <t>In oceanography, there has been a growing emphasis on coastal regions, partially because of their inherent complexity, as well as the increasing acknowledgment of anthropogenic impacts. To improve understanding and characterization of coastal dynamics, there has been significant effort devoted to the development of autonomous systems that sample the ocean on relevant scales. Autonomous underwater vehicles (AUVs) are especially well suited for studies of the coastal ocean because they are able to provide near-synoptic spatial observations. These sampling platforms are beginning to transition from the engineering groups that developed and continue to improve them to the science user. With this transition comes novel applications of these vehicles to address new questions in coastal oceanography. Here, the relatively mature Remote Environmental Monitoring Units (REMUS) AUV system is described and assessed. Analysis of data, based on 37 missions and nearly 800 km of in-water operation, shows that the vehicle's navigational error estimates were consistently less than 10 m, and error estimates of mission duration, distance, velocity, and power usage, once the vehicle was properly ballasted, were below 10%. An example of the transition to science is demonstrated in an experiment conducted in 2002 in Monterey Bay, California, where the vehicle was used to quantify critical horizontal length scales of variability. Length scales on the order of tens to hundreds of meters were found for the region within 25 km of the coastline, which has significant implications for designing proper sampling approaches and parameterizing model domains. Results also demonstrate the overall utility of the REMUS vehicle for use by coastal oceanographers.</t>
  </si>
  <si>
    <t>Calif Polytech State Univ San Luis Obispo, Dept Biol Sci, San Luis Obispo, CA 93407 USA; Woods Hole Oceanog Inst, Oceanog Syst Lab, Woods Hole, MA 02543 USA; Univ Calif Santa Barbara, Inst Marine Sci, Santa Barbara, CA 93106 USA</t>
  </si>
  <si>
    <t>California State University System; California Polytechnic State University San Luis Obispo; Woods Hole Oceanographic Institution; University of California System; University of California Santa Barbara</t>
  </si>
  <si>
    <t>Calif Polytech State Univ San Luis Obispo, Dept Biol Sci, 1 Grand Ave, San Luis Obispo, CA 93407 USA.</t>
  </si>
  <si>
    <t>mmoline@calpoly.edu</t>
  </si>
  <si>
    <t>0739-0572</t>
  </si>
  <si>
    <t>1520-0426</t>
  </si>
  <si>
    <t>J ATMOS OCEAN TECH</t>
  </si>
  <si>
    <t>J. Atmos. Ocean. Technol.</t>
  </si>
  <si>
    <t>10.1175/JTECH1809.1</t>
  </si>
  <si>
    <t>Engineering, Ocean; Meteorology &amp; Atmospheric Sciences</t>
  </si>
  <si>
    <t>Engineering; Meteorology &amp; Atmospheric Sciences</t>
  </si>
  <si>
    <t>993YB</t>
  </si>
  <si>
    <t>WOS:000233993900013</t>
  </si>
  <si>
    <t>Blagoveshchensky, DV; Vystavnoi, VM; Sergeeva, MA</t>
  </si>
  <si>
    <t>HF radio propagation through the auroral oval during substorms</t>
  </si>
  <si>
    <t>auroral ionosphere; geomagnetic substorms; ionospheric propagation</t>
  </si>
  <si>
    <t>MAGNETOSPHERIC SUBSTORMS; IONOSPHERIC STORMS; DYNAMICS; PATHS; ZONE</t>
  </si>
  <si>
    <t>Dynamical changes of the polar ionosphere are most pronounced during geomagnetic disturbances like the substorms and storms. The similar behavior of the polar and auroral ionosphere leads to the crucial, as a rule, unfavorable changes in the HF propagation at high latitudes. In the present article the features of radio wave propagation on the St. Petersburg - Bely Nos sub-polar path, having a length of 1800 km, were analyzed by the use of the oblique ionospheric sounding data. Observations were carried out during the substorm activity within the summer months of 1997. The main goal of the study is to reveal the typical features in HF radio propagation during substorms which could be useful for both the scientific investigation and radio communications at high latitudes. The results obtained demonstrate the following typical features in the HF propagation on this radio path: (i) the range of the operational frequencies is significantly narrowed during the substorm period; (ii) a change of the propagation mechanism takes place; (iii) a significant growth of auroral absorption occurs during the expansion phase; (iv) the multi-ray index for the received signals grows sharply. Evidence for the changes of the radio wave propagation parameters was found, which can be used for possible forecasting of the substorm onset. Typical features related to the HF propagation along the auroral zone are interpreted from the geophysical point of view. Those are significant for the tasks of the communication improvement and problems investigated by the Space Weather program. (c) 2005 Elsevier Ltd. All rights reserved.</t>
  </si>
  <si>
    <t>Univ Aerosp Instrumentat, St Petersburg 190000, Russia; Arctic &amp; Antarctic Res Inst, St Petersburg 199397, Russia</t>
  </si>
  <si>
    <t>Saint Petersburg State University of Aerospace Instrumentation; Arctic &amp; Antarctic Research Institute</t>
  </si>
  <si>
    <t>Blagoveshchensky, DV (corresponding author), Univ Aerosp Instrumentat, 67,Bolshaya Morskaya, St Petersburg 190000, Russia.</t>
  </si>
  <si>
    <t>dvb@ppp.delfa.net</t>
  </si>
  <si>
    <t>10.1016/j.jastp.2005.08.022</t>
  </si>
  <si>
    <t>992IY</t>
  </si>
  <si>
    <t>WOS:000233878800015</t>
  </si>
  <si>
    <t>Fitzpatrick, MF; Warren, SG</t>
  </si>
  <si>
    <t>Transmission of solar radiation by clouds over snow and ice surfaces. Part II: Cloud optical depth and shortwave radiative forcing from pyranometer measurements in the Southern Ocean</t>
  </si>
  <si>
    <t>JOURNAL OF CLIMATE</t>
  </si>
  <si>
    <t>ANTARCTIC SEA-ICE; ZENITH ANGLE; ALBEDO; THICKNESS; COVER</t>
  </si>
  <si>
    <t>Downward solar irradiance at the sea surface, measured on several voyages of an icebreaker in the Southern Ocean, is used to infer transmittance of solar radiation by clouds. Together with surface albedo estimated from coincident hourly sea ice reports, instantaneous cloud radiative forcing and effective cloud optical depth are obtained. Values of raw cloud transmittance ( trc), the ratio of downward irradiance under cloud to downward irradiance measured under clear sky, vary from 0.1 to 1.0. Over sea ice, few values of trc were observed between 0.8 and 1.0, possibly due to the threshold nature of the aerosol-to-cloud-droplet transition. This sparsely populated region of transmittances is referred to as the Kohler The instantaneous downward shortwave cloud radiative forcing is computed, as well as the time-averaged net forcing. The net forcing at a solar zenith angle of 60 is typically -250Wm(-2) over open ocean, but only half this value over sea ice because of the higher surface albedo and less frequent occurrence of clouds.</t>
  </si>
  <si>
    <t>Univ Washington, Dept Earth &amp; Space Sci, Seattle, WA 98195 USA; Univ Washington, Dept Atmospher Sci, Seattle, WA 98195 USA</t>
  </si>
  <si>
    <t>University of Washington; University of Washington Seattle; University of Washington; University of Washington Seattle</t>
  </si>
  <si>
    <t>Univ Washington, Dept Earth &amp; Space Sci, Box 351310, Seattle, WA 98195 USA.</t>
  </si>
  <si>
    <t>fitz@atmos.washington.edu</t>
  </si>
  <si>
    <t>0894-8755</t>
  </si>
  <si>
    <t>1520-0442</t>
  </si>
  <si>
    <t>J CLIMATE</t>
  </si>
  <si>
    <t>J. Clim.</t>
  </si>
  <si>
    <t>10.1175/JCLI3562.1</t>
  </si>
  <si>
    <t>995DK</t>
  </si>
  <si>
    <t>WOS:000234079900003</t>
  </si>
  <si>
    <t>Peck, LS; Maddrell, SHP</t>
  </si>
  <si>
    <t>Limitation of size by hypoxia in the fruit fly Drosophila melanogaster</t>
  </si>
  <si>
    <t>JOURNAL OF EXPERIMENTAL ZOOLOGY PART A-ECOLOGICAL AND INTEGRATIVE PHYSIOLOGY</t>
  </si>
  <si>
    <t>CELL-SIZE; BODY-SIZE; RESPIRATORY-FUNCTION; ATMOSPHERIC OXYGEN; TEMPERATURE; LIMITS; REPRODUCTION; EVOLUTION; RESPONSES; DESIGN</t>
  </si>
  <si>
    <t>The size of an organism is of fundamental importance in all biological processes. It dictates many of the critical interactions and physical factors that delimit the envelope within which an organism can grow. We investigated the effects of reduced oxygen on size and development in the fruit fly Drosophila melanogaster, and showed that limiting the oxygen in the environment limits both whole animal and cell size. When oxygen levels were reduced from 20% in nitrogen to 15%, 10% and 7.5%, there was a linear decrease in both male and female mass. Both cell size and cell number decreased in low oxygen, but changes in cell size accounted for a larger proportion of the overall p change in fly size. Cell numbers decreased by a maximum of 11% between flies reared in. 20%. oxygen and those reared in 7.5% oxygen, whereas cell surface area decreased by 17%. Low oxygen levels increased development time and mortality, but reduced fecundity. Reducing the level of oxygen available significantly slowed development times, with flies reared in 10% oxygen emerging on average 1.5 days later than those in 20% oxygen. The effect of oxygen on size is reversible during embryonic and larval development up to the pupal stage, when final size is set.</t>
  </si>
  <si>
    <t>British Antarctic Survey, Cambridge CB3 0ET, England; Univ Cambridge, Dept Zool, Cambridge CB2 3EJ, England</t>
  </si>
  <si>
    <t>UK Research &amp; Innovation (UKRI); Natural Environment Research Council (NERC); NERC British Antarctic Survey; University of Cambridge</t>
  </si>
  <si>
    <t>2471-5638</t>
  </si>
  <si>
    <t>2471-5646</t>
  </si>
  <si>
    <t>J EXP ZOOL PART A</t>
  </si>
  <si>
    <t>J. Exp. Zool. Part A-Ecol. Integr. Physiol.</t>
  </si>
  <si>
    <t>303A</t>
  </si>
  <si>
    <t>10.1002/jez.a.211</t>
  </si>
  <si>
    <t>979JY</t>
  </si>
  <si>
    <t>WOS:000232939400004</t>
  </si>
  <si>
    <t>Bart, PJ; Egan, D; Warny, SA</t>
  </si>
  <si>
    <t>Direct constraints on Antarctic Peninsula Ice Sheet grounding events between 5.12 and 7.94 Ma</t>
  </si>
  <si>
    <t>JOURNAL OF GEOPHYSICAL RESEARCH-EARTH SURFACE</t>
  </si>
  <si>
    <t>PLEISTOCENE-HOLOCENE RETREAT; WESTERN ROSS-SEA; CONTINENTAL-SHELF; PACIFIC MARGIN; STRATIGRAPHIC SIGNATURE; SEISMIC STRATIGRAPHY; LATE NEOGENE; OUTER SHELF; RECORD; STREAM</t>
  </si>
  <si>
    <t>How has the Antarctic Ice Sheet responded to or influenced global climate change? This simple question has been difficult to address because the long-term records of the ice sheet's fluctuations are poorly constrained with geologic data from Antarctica. Thus studies to date have not convincingly established how specific Antarctic Ice Sheet events correlate with climatic, eustatic, or other phenomena known from low-latitude and deep-sea records. This study focused on documenting the direct record of ice sheet advance and retreat to the Antarctic Peninsula's shelf edge. On the peninsula's outer shelf, seismic reflectors interpreted to be subglacial unconformities were correlated with published results from Ocean Drilling Program Leg 178. Lithologic and chronologic control at two drill sites provided ground truth for the seismic interpretation and the timing of the Antarctic Peninsula Ice Sheet grounding events. This synthesis showed that grounded ice advanced to the shelf edge on at least 12 occasions between 5.12 and 7.94 Ma.</t>
  </si>
  <si>
    <t>Louisiana State Univ, Dept Geol &amp; Geophys, Baton Rouge, LA 70803 USA; Louisiana State Univ, Museum Nat Sci, Baton Rouge, LA 70803 USA</t>
  </si>
  <si>
    <t>Louisiana State University System; Louisiana State University; Louisiana State University System; Louisiana State University</t>
  </si>
  <si>
    <t>Louisiana State Univ, Dept Geol &amp; Geophys, Howe Russell Geosci Complex,E235, Baton Rouge, LA 70803 USA.</t>
  </si>
  <si>
    <t>pbart@geol.lsu.edu</t>
  </si>
  <si>
    <t>Warny, Sophie A/A-8226-2013</t>
  </si>
  <si>
    <t>Warny, Sophie/0000-0002-3451-040X</t>
  </si>
  <si>
    <t>2169-9003</t>
  </si>
  <si>
    <t>2169-9011</t>
  </si>
  <si>
    <t>J GEOPHYS RES-EARTH</t>
  </si>
  <si>
    <t>J. Geophys. Res.-Earth Surf.</t>
  </si>
  <si>
    <t>F4</t>
  </si>
  <si>
    <t>F04008</t>
  </si>
  <si>
    <t>10.1029/2004JF000254</t>
  </si>
  <si>
    <t>982ME</t>
  </si>
  <si>
    <t>WOS:000233161700001</t>
  </si>
  <si>
    <t>Amir, G; Rubinsky, B; Basheer, SY; Horowitz, L; Jonathan, L; Feinberg, MS; Smolinsky, AK; Lavee, J</t>
  </si>
  <si>
    <t>Improved viability and reduced apoptosis in sub-zero 21-hour preservation of transplanted rat hearts using anti-freeze proteins</t>
  </si>
  <si>
    <t>JOURNAL OF HEART AND LUNG TRANSPLANTATION</t>
  </si>
  <si>
    <t>ANTIFREEZE PROTEINS; ANTARCTIC FISH; ARCTIC FISH; GLYCOPROTEINS; INJURY; TEMPERATURES; REPERFUSION; INHIBITION; ACTIVATION; CELLS</t>
  </si>
  <si>
    <t>Background: Freeze-tolerant fish survive sub-zero temperatures by non-colligatively lowering the freezing temperature of their body fluids using anti-freeze proteins (AFPs). We sought to evaluate and compare the effects of prolonged sub-zero cryopreservation of transplanted rat hearts using AFP I or AFP III. Methods: Two heterotopic rat heart transplantation protocols were used. In Protocol 1 (n = 104), hearts (n 8/group) were preserved for 12, 18 and 24 hours in University of Wisconsin solution (UW) at 4 degrees C, UW at -1.3 degrees C, UW/AFP I at -1.3 degrees C and UW/AFP III at-1.3 degrees C, with and without nucleation. Post-operative evaluation consisted of visual viability scoring of the hearts after 60 minutes. Protocol 2 (n = 58) involved evaluation of 24-hour post-transplant viability, echocardiography (fractional shortening [FS], left ventricular end-systolic and -diastolic diameter [ESD, EDD] and anterior and posterior wall systolic and diastolic thickness [AWT-S, AWT-D, PWT-S, PWT-D]), TUNEL staining and electron microscopy (EM) findings for hearts preserved for 18, 21 and 24 hours in UW at 4 degrees C or UW/AFP III at -1.3 degrees C. Results: Hearts preserved in UW at -1.3 degrees C with nucleation froze and died. Three of 8 hearts preserved in UW at 4 degrees C for 24 hours died, whereas all hearts preserved at -1.3 degrees C survived. Hearts preserved in UW/AFP for 18 and 24 hours at -1.3 degrees C had superior viability scores compared with those in UW at 4 degrees C. Hearts in AFP III at -1.3 degrees C displayed greater AWT-S and AWT-D (3-5 +/- 0.2 vs 2.4 +/- 0.2, p &lt; 0.05, and 3.5 +/- 0.2 vs 2.2 +/- 0.2, p &lt; 0.05, respectively) after 18-hour preservation. In the 2 I-hour preservation group, AFP-treated hearts displayed improved echocardiographic systolic contraction indices, including: improved FS (27 +/- 3.7 vs 15 +/- 4, P = 0.04); diminished ESD (0.28 +/- 0.57 vs 0.47 +/- 0.6, p &lt; 0.05); greater AWT-S (3.4 +/- 0.18 vs 2.8 +/- 0.2, p &lt; 0.05); and fewer positively TUNEL-stained nuclei per specimen (35 +/- 14 vs 5.3 +/- 2.7, p = 0.04). Also, improved EM scores were noted compared with UW at 4 degrees C. Conclusions: In prolonged sub-zero cryopreservation, AFPs protect the heart from freezing, improve survival and hemodynamics, and reduce apoptotic cell death.</t>
  </si>
  <si>
    <t>Chaim Sheba Med Ctr, Dept Cardiac Surg, Heart Transplantat Unit, IL-52621 Tel Hashomer, Israel; Univ Calif Berkeley, Dept Bioengn &amp; Mech Engn, Berkeley, CA 94720 USA; Tel Aviv Univ, Neufeld Cardiac Res Inst, IL-69978 Tel Aviv, Israel</t>
  </si>
  <si>
    <t>Chaim Sheba Medical Center; University of California System; University of California Berkeley; Tel Aviv University</t>
  </si>
  <si>
    <t>Amir, G (corresponding author), Lucille Packard Childrens Hosp, Dept Pediat Cardiothorac Surg, Stanford Med Ctr, Stanford, CA 94305 USA.</t>
  </si>
  <si>
    <t>gabiamir@stanford.edu</t>
  </si>
  <si>
    <t>Rubinsky, Boris/B-4439-2010</t>
  </si>
  <si>
    <t>Lavee, Jacob/0000-0002-3641-1114</t>
  </si>
  <si>
    <t>ELSEVIER SCIENCE INC</t>
  </si>
  <si>
    <t>360 PARK AVE SOUTH, NEW YORK, NY 10010-1710 USA</t>
  </si>
  <si>
    <t>1053-2498</t>
  </si>
  <si>
    <t>J HEART LUNG TRANSPL</t>
  </si>
  <si>
    <t>J. Heart Lung Transplant.</t>
  </si>
  <si>
    <t>10.1016/j.healun.2004.11.003</t>
  </si>
  <si>
    <t>Cardiac &amp; Cardiovascular Systems; Respiratory System; Surgery; Transplantation</t>
  </si>
  <si>
    <t>Cardiovascular System &amp; Cardiology; Respiratory System; Surgery; Transplantation</t>
  </si>
  <si>
    <t>985XP</t>
  </si>
  <si>
    <t>WOS:000233412300032</t>
  </si>
  <si>
    <t>Radko, T</t>
  </si>
  <si>
    <t>Analytical solutions for the ACC and its overturning circulation</t>
  </si>
  <si>
    <t>JOURNAL OF MARINE RESEARCH</t>
  </si>
  <si>
    <t>ANTARCTIC CIRCUMPOLAR CURRENT; OCEAN CIRCULATION; MERIDIONAL CELLS; SOUTHERN-OCEAN; DEACON CELL; TRANSPORT; MODELS</t>
  </si>
  <si>
    <t>An explicit analytical model of the Antarctic Circumpolar Current (ACC) is presented in which the key feature is the balance between the Eulerian circulation acting to overturn the isopycnals and geostrophic eddies which tend to flatten them. Solutions for the stratification and overturning circulation are obtained by expanding the governing residual mean equations of motion in a small parameter (c) which measures the relative strength of the surface buoyancy flux and mechanical forcing by winds. Our balanced asymptotic model extends and reconciles the earlier views on the dynamics of the (streamwise-averaged) ACC by demonstrating that the zero order balance between the eddy-induced circulation and the mean flow determines gross features of the buoyancy distribution in the interior of the ACC. The diabatic buoyancy fluxes are essential in driving the secondary (residual) circulation which is, however, largely steered along the pathways set by the dominant adiabatic balance. Model assumptions are supported by a close agreement of the analytical solutions and fully nonlinear numerical calculations.</t>
  </si>
  <si>
    <t>USN, Postgrad Sch, Dept Oceanog, Monterey, CA 93943 USA</t>
  </si>
  <si>
    <t>United States Department of Defense; United States Navy; Naval Postgraduate School</t>
  </si>
  <si>
    <t>Radko, T (corresponding author), USN, Postgrad Sch, Dept Oceanog, Monterey, CA 93943 USA.</t>
  </si>
  <si>
    <t>tradko@nps.edu</t>
  </si>
  <si>
    <t>SEARS FOUNDATION MARINE RESEARCH</t>
  </si>
  <si>
    <t>NEW HAVEN</t>
  </si>
  <si>
    <t>YALE UNIV, KLINE GEOLOGY LAB, 210 WHITNEY AVENUE, NEW HAVEN, CT 06520-8109 USA</t>
  </si>
  <si>
    <t>0022-2402</t>
  </si>
  <si>
    <t>J MAR RES</t>
  </si>
  <si>
    <t>J. Mar. Res.</t>
  </si>
  <si>
    <t>10.1357/002224005775247634</t>
  </si>
  <si>
    <t>004VW</t>
  </si>
  <si>
    <t>WOS:000234781600003</t>
  </si>
  <si>
    <t>Weijer, W; Gille, ST</t>
  </si>
  <si>
    <t>Energetics of wind-driven barotropic variability in the Southern Ocean</t>
  </si>
  <si>
    <t>ANTARCTIC CIRCUMPOLAR CURRENT; ATMOSPHERIC DISTURBANCES; INERTIAL MOTIONS; ENERGY INPUT; MODEL; CIRCULATION; WAVES; TOPOGRAPHY; PARTITION; HURRICANE</t>
  </si>
  <si>
    <t>This study addresses the energetics of the Southern Ocean, in response to high-frequency wind forcing. A constant-density, multi-layer model is forced with a band of stochastically varying wind stress. The focus is on the interplay between the surface layer and the interior circulation. In line with previous examinations, it is concluded that the interior ocean is not directly energized by the wind work, but rather through the work done by the pressure field. The spatial and temporal characteristics of these terms differ substantially. Although the wind work may be negative in extensive regions of the World Ocean, the pressure work energizes the interior circulation almost everywhere. For low-frequency variability, the total work done by the wind and pressure on the barotropic flow is comparable, but discrepancies may arise for high-frequency variability. A mechanism is identified through which kinetic energy can leak from the wind-driven surface layer to the barotropic flow.</t>
  </si>
  <si>
    <t>Univ Calif San Diego, Phys Oceanog Res Div, Scripps Inst Oceanog, La Jolla, CA 92093 USA</t>
  </si>
  <si>
    <t>University of California System; University of California San Diego; Scripps Institution of Oceanography</t>
  </si>
  <si>
    <t>Weijer, W (corresponding author), Univ Calif San Diego, Phys Oceanog Res Div, Scripps Inst Oceanog, La Jolla, CA 92093 USA.</t>
  </si>
  <si>
    <t>wweijer@ucsd.edu</t>
  </si>
  <si>
    <t>Gille, Sarah T./B-3171-2012; Weijer, Wilbert/A-7909-2010; Weijer, Wilbert/AAT-3247-2021</t>
  </si>
  <si>
    <t>Weijer, Wilbert/0000-0002-5654-562X; Weijer, Wilbert/0000-0002-5654-562X; Gille, Sarah/0000-0001-9144-4368</t>
  </si>
  <si>
    <t>10.1357/002224005775247562</t>
  </si>
  <si>
    <t>WOS:000234781600006</t>
  </si>
  <si>
    <t>Schott, FA; Dengler, M; Zantopp, R; Stramma, L; Fischer, J; Brandt, P</t>
  </si>
  <si>
    <t>The shallow and deep western boundary circulation of the South Atlantic at 5°-11°S</t>
  </si>
  <si>
    <t>JOURNAL OF PHYSICAL OCEANOGRAPHY</t>
  </si>
  <si>
    <t>TROPICAL ATLANTIC; OCEAN CIRCULATION; NORTH-ATLANTIC; ANNUAL CYCLE; SUBTROPICAL CELLS; VARIABILITY; TRANSPORTS; WATER; FLOW; BRAZIL</t>
  </si>
  <si>
    <t>Repeated shipboard observation sections across the boundary flow off northeastern Brazil as well as acoustic Doppler current profiler (ADCP) and current-meter records from a moored boundary array deployed during 2000 - 04 near 11 S are analyzed here for both the northward warm water flow by the North Brazil Undercurrent (NBUC) above approximately 1100 m and the southward flow of North Atlantic Deep Water (NADW) underneath. At 5 S, the mean from nine sections yields an NBUC transport of 26.5 +/- 3.7 Sv (Sv = 10(6) m(3) s(-1)) along the boundary; at 11 degrees S the mean NBUC transport from five sections is 25.4 +/- 7.4 Sv, confirming that the NBUC is already well developed at 11 S. At both latitudes a persistent offshore southward recirculation between 200- and 1100-m depth reduces the net northward warm water flow through the 5 degrees S section ( west of 31.5 W) to 22.1 +/- 5.3 Sv and through the 11 degrees S section to 21.7 +/- 4.1 Sv ( west of 32.0 degrees W). The 4-yr-long NBUC transport time series from 11 degrees S yields a seasonal cycle of 2.5 Sv amplitude with its northward maximum in July. Interannual NBUC transport variations are small, varying only by +/- 1.2 Sv during the four years, with no detectable trend. The southward flow of NADW within the deep western boundary current at 5 degrees S is 25.5 +/- 8.3 Sv with an offshore northward recirculation, yielding a nine-section mean of 20.3 +/- 10.1 Sv west of 31.5 degrees W. For Antarctic Bottom Water, a net northward flow of 4.4 +/- 3.0 Sv is determined at 5 degrees S. For the 11 degrees S section, the moored array data show a pronounced energy maximum at 60 - 70-day period in the NADW depth range, which was identified in related work as deep eddies translating southward along the boundary. Based on a kinematic eddy model fit to the first half of the moored time series, the mean NADW transfer by the deep eddies at 11 degrees S was estimated to be about 17 Sv. Given the large interannual variability of the deep near-boundary transport time series, which ranged from 14 to 24 Sv, the 11 degrees S mean was considered to be not distinguishable from the mean at 5 degrees S.</t>
  </si>
  <si>
    <t>Univ Kiel, Leibniz Inst Meereswissensch, GEOMAR, IFM, D-24105 Kiel, Germany</t>
  </si>
  <si>
    <t>Schott, FA (corresponding author), Univ Kiel, Leibniz Inst Meereswissensch, GEOMAR, IFM, Dusternbrooker Weg 20, D-24105 Kiel, Germany.</t>
  </si>
  <si>
    <t>fschott@ifm-geomar.de</t>
  </si>
  <si>
    <t>Dengler, Marcus/A-7327-2014; Brandt, Peter/C-8254-2013; Fischer, Jürgen/A-4162-2014</t>
  </si>
  <si>
    <t>Dengler, Marcus/0000-0001-5993-9088; Brandt, Peter/0000-0002-9235-955X; Stramma, Lothar/0000-0003-1391-4808</t>
  </si>
  <si>
    <t>0022-3670</t>
  </si>
  <si>
    <t>J PHYS OCEANOGR</t>
  </si>
  <si>
    <t>J. Phys. Oceanogr.</t>
  </si>
  <si>
    <t>10.1175/JPO2813.1</t>
  </si>
  <si>
    <t>993TI</t>
  </si>
  <si>
    <t>WOS:000233977600006</t>
  </si>
  <si>
    <t>Adjustment of the Southern Ocean to wind forcing on synoptic time scales</t>
  </si>
  <si>
    <t>ANTARCTIC CIRCUMPOLAR CURRENT; SEA-LEVEL VARIABILITY; DRAKE PASSAGE; ATMOSPHERIC DISTURBANCES; PACIFIC-OCEAN; ANNULAR MODE; DRIVEN; CIRCULATION; RESONANCE; CHANNEL</t>
  </si>
  <si>
    <t>This study addresses the response of the Southern Ocean to high-frequency wind forcing, focusing on the impact of several barotropic modes on the circumpolar transport. A suite of experiments is performed with an unstratified model of the Southern Ocean, forced with a stochastic wind stress that contains a large range of frequencies with synoptic time scales. The Southern Ocean adjustment displays a different character for frequencies below and above 0.2 cpd. The low-frequency range is dominated by an almost-free-mode response in the region where contours of f/H are obstructed by only a few bathymetric features; the truly free mode only plays a minor role. Topographic form stress, rather than friction, is the dominant decay mechanism of the Southern Mode. It leads to a spindown time scale on the order of 3 days. For the high-frequency range, the circumpolar transport is dominated by the resonant excitation of oscillatory modes. The active response of the ocean leads to strong changes and even discontinuities in the phase relation between transport and wind stress.</t>
  </si>
  <si>
    <t>Univ Calif San Diego, Scripps Inst Oceanog, Phys Oceanog Res Div, La Jolla, CA 92093 USA</t>
  </si>
  <si>
    <t>Univ Calif San Diego, Scripps Inst Oceanog, Phys Oceanog Res Div, La Jolla, CA 92093 USA.</t>
  </si>
  <si>
    <t>Gille, Sarah T./B-3171-2012; Weijer, Wilbert/AAT-3247-2021; Weijer, Wilbert/A-7909-2010</t>
  </si>
  <si>
    <t>1520-0485</t>
  </si>
  <si>
    <t>10.1175/JPO2801.1</t>
  </si>
  <si>
    <t>WOS:000233977600008</t>
  </si>
  <si>
    <t>Drijfhout, SS</t>
  </si>
  <si>
    <t>What sets the surface eddy mass flux in the Southern Ocean?</t>
  </si>
  <si>
    <t>ANTARCTIC CIRCUMPOLAR CURRENT; CIRCULATION MODELS; HEAT-TRANSPORT; DEACON CELL; EDDIES; STRATIFICATION; VARIABILITY; RESOLUTION; BRANCH</t>
  </si>
  <si>
    <t>The Ocean Circulation and Climate Advanced Modelling (OCCAM) global, eddy-permitting ocean general circulation model has been used to investigate the surface eddy mass flux in the Southern Ocean. The isopycnal eddy mass flux in the surface layer is almost uniformly poleward and scales well with the local Ekman transport. This seems at odds with other models and observations suggesting topographic localization of the eddy fluxes with locally, large rotational components. Integrated over the thermocline depth the eddy fluxes do show such topographic localization. The surface eddy mass flux is mainly a consequence of the intermittent deepening of the mixed layer with the seasonal cycle, which redistributes the Ekman transport over the stack of layers that eventually become ventilated. Baroclinic instability gives rise to much smaller eddy-induced transports. Independent of the framework in which the residual mean flow is analyzed ( isopycnal or geometric), the eddy-induced transport that opposes the wind-driven Ekman flow only partially compensates the Deacon cell. The associated overturning cell is about 5 Sv (where 1 Sv = 10(6) m(3) s(-1)), responsible for a cancellation of the Deacon cell of 30%. In geometric coordinates, a strong signature ( 14 Sv) of the Deacon cell remains for the residual mean flow. Only after transformation to density coordinates is a further reduction with 10 Sv obtained. Zonal tilting of isopycnals makes along-isopycnal recirculations appear as vertical overturning cells in geometric coordinates. These cells disappear in the isopycnal framework without any eddy-induced transport being involved.</t>
  </si>
  <si>
    <t>Royal Netherlands Meteorol Inst, NL-3730 AE De Bilt, Netherlands</t>
  </si>
  <si>
    <t>Royal Netherlands Meteorological Institute</t>
  </si>
  <si>
    <t>Drijfhout, SS (corresponding author), Royal Netherlands Meteorol Inst, POB 201, NL-3730 AE De Bilt, Netherlands.</t>
  </si>
  <si>
    <t>drijfhou@knmi.nl</t>
  </si>
  <si>
    <t>Drijfhout, Sybren/I-4230-2016</t>
  </si>
  <si>
    <t>Drijfhout, Sybren/0000-0001-5325-7350</t>
  </si>
  <si>
    <t>10.1175/JPO2776.1</t>
  </si>
  <si>
    <t>WOS:000233977600013</t>
  </si>
  <si>
    <t>Calbet, A; Alcaraz, M; Atienza, D; Broglio, E; Vaqué, D</t>
  </si>
  <si>
    <t>Zooplankton biomass distribution patterns along the western Antarctic Peninsula (December 2002)</t>
  </si>
  <si>
    <t>JOURNAL OF PLANKTON RESEARCH</t>
  </si>
  <si>
    <t>MARGINAL ICE-ZONE; TERRA-NOVA BAY; SOUTHERN-OCEAN; BELLINGSHAUSEN-SEA; BRANSFIELD STRAIT; ATLANTIC SECTOR; AUSTRAL SUMMER; LIFE-CYCLE; COMMUNITY STRUCTURE; WEDDELL SEA</t>
  </si>
  <si>
    <t>The phytoplankton [chlorophyll a (Chl a)], microzooplankton, mesozooplankton and macrozooplankton biomass and distribution were studied as part of a multidisciplinary project (Tempano) along the Antarctic Peninsula during December 2002. Even though the summer phytoplankton bloom was not yet developed in the area, autotrophs dominated the plankton biomass. Phytoplankton vertical distribution was, in general, homogeneous in the upper 40-50 m of the water column, further decreasing with depth. Protozoans showed low biomass; their contribution to the total plankton being one order of magnitude lower than that of autotrophs. The vertical distribution of protozoans was variable among stations with marked peaks at depths ranging from 30 to 80 m. Mesozooplankton-integrated biomass was generally low, although there was a notable increase southward near the ice marginal zone. Macrozooplankton distribution was more variable without any clear zonal distribution pattern. The vertical distribution of meso- and macrozooplankton (&gt; 4 mm) biomass showed clear peaks of abundance comprising different species depending on the geographical area. Our biomass distribution data suggest a food-web scenario in which macrozooplankton are preying on mesozooplankton populations only in the northerner stations, and mesozooplankton are, in their turn, shaping the abundance of the emerging populations of microzooplankton. Phytoplankton, on the other hand, seem to be hardly controlled by grazing activity.</t>
  </si>
  <si>
    <t>CSIC, Inst Ciencias Mar, E-08003 Barcelona, Spain</t>
  </si>
  <si>
    <t>Consejo Superior de Investigaciones Cientificas (CSIC); CSIC - Centro Mediterraneo de Investigaciones Marinas y Ambientales (CMIMA); CSIC - Instituto de Ciencias del Mar (ICM)</t>
  </si>
  <si>
    <t>Calbet, A (corresponding author), CSIC, Inst Ciencias Mar, P Maritim Barcelona 37-49, E-08003 Barcelona, Spain.</t>
  </si>
  <si>
    <t>acalbet@icm.csic.es</t>
  </si>
  <si>
    <t>Calbet, Albert/A-7779-2008; Atienza, Dacha/I-2162-2015; Atienza, Dacha/HOA-7371-2023; Alcaraz, Miquel/B-6462-2015; Vaque, Dolors/H-6973-2018</t>
  </si>
  <si>
    <t>Calbet, Albert/0000-0003-1069-212X; Atienza, Dacha/0000-0002-3342-5297; Broglio, Elisabetta/0000-0001-7071-6192; Alcaraz, Miquel/0000-0002-4803-2306; Vaque, Dolors/0000-0002-0420-5914</t>
  </si>
  <si>
    <t>0142-7873</t>
  </si>
  <si>
    <t>J PLANKTON RES</t>
  </si>
  <si>
    <t>J. Plankton Res.</t>
  </si>
  <si>
    <t>10.1093/plankt/fbi081</t>
  </si>
  <si>
    <t>997AX</t>
  </si>
  <si>
    <t>WOS:000234218500010</t>
  </si>
  <si>
    <t>Howe, J; Francis, JE</t>
  </si>
  <si>
    <t>Metamorphosed palaeosols associated with Cretaceous fossil forests, Alexander Island, Antarctica</t>
  </si>
  <si>
    <t>Cretaceous; Antarctica; palaeosols; fossil forests; zeolites</t>
  </si>
  <si>
    <t>ARC; DEFORMATION; HISTORY; LEAVES</t>
  </si>
  <si>
    <t>Fossil soils are present within mid-Cretaceous fluvial sediments of the Fossil Bluff Group, Alexander Island, Antarctica. The palaeosols contain in situ fossil trees and rooted plants. These palaeosols are typically composed of two dominant horizons: an upper organic-rich horizon with identifiable plant remains, and a lower horizon with well-developed blocky ped structures, clay cutans and mottling. These features are typical of modem soils in seasonally dry climates. Although evidence of flooding is apparent from interbedded fluvial sandstones and mudstones, the palaeosols indicate that this high-latitude mid-Cretaceous environment was predominantly seasonally dry. The presence of the zeolites laumontite, prehnite and pumpellyite indicates a later metamorphic overprint on the palaeosols, resulting from burial diagenesis of this region at depths of about 3.8-5.2 km and temperatures of 150-170 degrees C.</t>
  </si>
  <si>
    <t>Univ Leeds, Sch Earth &amp; Environm, Leeds LS2 9JT, W Yorkshire, England; British Antarctic Survey, Cambridge CB3 0ET, England</t>
  </si>
  <si>
    <t>University of Leeds; UK Research &amp; Innovation (UKRI); Natural Environment Research Council (NERC); NERC British Antarctic Survey</t>
  </si>
  <si>
    <t>Univ Leeds, Sch Earth &amp; Environm, Leeds LS2 9JT, W Yorkshire, England.</t>
  </si>
  <si>
    <t>J.Francis@earth.leeds.ac.uk</t>
  </si>
  <si>
    <t>10.1144/0016-764903-101</t>
  </si>
  <si>
    <t>983VN</t>
  </si>
  <si>
    <t>WOS:000233260400009</t>
  </si>
  <si>
    <t>Khare, N</t>
  </si>
  <si>
    <t>XXVIII Antarctic Treaty consultative meeting (ATCM) at Stockholm (Sweden) during 6-17 June, 2005</t>
  </si>
  <si>
    <t>JOURNAL OF THE GEOLOGICAL SOCIETY OF INDIA</t>
  </si>
  <si>
    <t>Natl Ctr Antarctic &amp; Ocean Res, Dept Ocean Dev, Vasco Da Gama 403804, Goa, India</t>
  </si>
  <si>
    <t>Ministry of Earth Sciences (MoES) - India; National Centre for Polar and Ocean Research (NCPOR)</t>
  </si>
  <si>
    <t>Khare, N (corresponding author), Natl Ctr Antarctic &amp; Ocean Res, Dept Ocean Dev, Headland Sada, Vasco Da Gama 403804, Goa, India.</t>
  </si>
  <si>
    <t>nkhare@ncaor.org</t>
  </si>
  <si>
    <t>GEOLOGICAL SOC INDIA</t>
  </si>
  <si>
    <t>#64 12TH CROSS, BASAPPA LAYOUT P B 1922, GAVIPURAM PO, BANGALORE 560019, INDIA</t>
  </si>
  <si>
    <t>0016-7622</t>
  </si>
  <si>
    <t>J GEOL SOC INDIA</t>
  </si>
  <si>
    <t>J. Geol. Soc. India</t>
  </si>
  <si>
    <t>998WU</t>
  </si>
  <si>
    <t>WOS:000234351400014</t>
  </si>
  <si>
    <t>Duarte, CM; Agustí, S; Vaqué, D; Agawin, NSR; Felipe, J; Casamayor, EO; Gasol, JM</t>
  </si>
  <si>
    <t>Experimental test of bacteria-phytoplankton coupling in the Southern Ocean</t>
  </si>
  <si>
    <t>LIMNOLOGY AND OCEANOGRAPHY</t>
  </si>
  <si>
    <t>SPATIAL-DISTRIBUTION; AUSTRAL SUMMER; PLANKTONIC BACTERIA; BRANSFIELD STRAIT; MICROBIAL BIOMASS; ANTARCTIC WATERS; GERLACHE STRAIT; WEDDELL SEA; BACTERIOPLANKTON; MARINE</t>
  </si>
  <si>
    <t>A set of eight large (20 m(3)) mesocosms were moored in Johnson's Dock (62 degrees 39.576'S, 60 degrees 22.408'W, Livingston Island, Antarctica) to experimentally generate a gradient of phytoplankton biomass and production in order to test the extent of coupling between bacteria (heterotrophic Bacteria and Archaea) and phytoplankton, as well as the role of bacterial losses to protist grazers. This was achieved by imposing four light levels (100%, 50%, 25%, and 10%) in the presence or absence of nutrient additions (0.1 mol NH4Cl, 0.1 mol F6Na2Si, and 0.01 mol KH2PO4 per day per mesocosm). The experimental treatments resulted in a broad range of chlorophyll a (Chl a) (0.31-93.5 mu g Chl a L-1) and average primary production rates, while bacteria responded in a much narrower range of biomass (3-447 mu g C L-1) and production (0.21-15.71 mu g C L-1 d(-1)). Results confirm that bacteda-chlorophyll and bacterial production-primary production relationships in the Southern Ocean differ from the typical relationships applicable to aquatic ecosystems elsewhere. Bacteria respond to phytoplankton blooms, but they respond so weakly that bacterial production represents a small percentage of primary production (1-10%). Although other mechanisms might also contribute to the weak bacterial response to phytoplankton blooms, we demonstrate that the reason for it is likely the tight control of bacterial populations by their predators. Protist grazers are able to sustain faster growth rates in the cold waters of the Southern Ocean than are bacteria, thereby preventing bacteria from responding to phytoplankton blooms more forcibly.</t>
  </si>
  <si>
    <t>IMEDEA, CSIC, UIB, Inst Mediterraneo Estudios Avanzados,Grp Oceanog, Esporles 07190, Mallorca, Spain</t>
  </si>
  <si>
    <t>Universitat de les Illes Balears; Consejo Superior de Investigaciones Cientificas (CSIC); ATTITUS Educacao</t>
  </si>
  <si>
    <t>IMEDEA, CSIC, UIB, Inst Mediterraneo Estudios Avanzados,Grp Oceanog, Miquel Marques 21, Esporles 07190, Mallorca, Spain.</t>
  </si>
  <si>
    <t>carlosduarte@imedea.uib.es</t>
  </si>
  <si>
    <t>Duarte Quesada, Carlos Manuel/ABD-6208-2021; Agusti, Susana/H-8421-2012; Agusti, Susana/G-2864-2017; Casamayor, Emilio/A-3676-2010; Duarte, Carlos M/A-7670-2013; Vaque, Dolors/H-6973-2018; Gasol, Josep M/B-1709-2008; Agawin, Nona Sheila/I-3168-2015</t>
  </si>
  <si>
    <t>Agusti, Susana/0000-0003-0536-7293; Casamayor, Emilio/0000-0001-7074-3318; Duarte, Carlos M/0000-0002-1213-1361; Vaque, Dolors/0000-0002-0420-5914; Gasol, Josep M/0000-0001-5238-2387; Agawin, Nona Sheila/0000-0001-5951-360X</t>
  </si>
  <si>
    <t>0024-3590</t>
  </si>
  <si>
    <t>1939-5590</t>
  </si>
  <si>
    <t>LIMNOL OCEANOGR</t>
  </si>
  <si>
    <t>Limnol. Oceanogr.</t>
  </si>
  <si>
    <t>10.4319/lo.2005.50.6.1844</t>
  </si>
  <si>
    <t>985IK</t>
  </si>
  <si>
    <t>WOS:000233370600014</t>
  </si>
  <si>
    <t>Nielsen, T; De Santis, L; Dahgren, KIT; Kuijpers, A; Laberg, JS; Nygård, A; Praeg, D; Stoker, MS</t>
  </si>
  <si>
    <t>A comparison of the NW European glaciated margin with other glaciated margins</t>
  </si>
  <si>
    <t>MARINE AND PETROLEUM GEOLOGY</t>
  </si>
  <si>
    <t>glaciated margins; seabed physiography; strata architecture; comparison</t>
  </si>
  <si>
    <t>ANTARCTIC ICE-SHEET; TROUGH-MOUTH FAN; GLACIMARINE SEDIMENTARY PROCESSES; NORWEGIAN CONTINENTAL-SHELF; DEEP-OCEAN CIRCULATION; SOUTHERN VICTORIA LAND; POLAR NORTH-ATLANTIC; EAST ANTARCTICA; WEDDELL SEA; ROSS SEA</t>
  </si>
  <si>
    <t>The present paper provides an overview of glacial related seabed features and sedimentary sequences found along the formerly glaciated NW European margin and compare it with those found on contemporary glaciated margins from both the Southern and Northern Hemispheres. A brief review of the seabed physiography and strata architecture of the margins under consideration is followed by comparison of the most relevant similarities and differences. Comparison of the present-day bathymetric setting of both former and contemporary glaciated margins reveals no clear link to the effect of neither ice sheet or sediment load. Three different types of glacially eroded shelf transverse troughs have been identified, while marginal troughs seem connected to similar geological settings everywhere. Beyond the shelf edge interaction between downslope and alongslope processes has occurred resulting, amongst others, in the formation of large sedimentary mounds on the rise. More frequent large-scale mass wasting occurs on the former glaciated NW European margin than the Greenland and Antarctic margins in the latest Neogene to recent times. A two-stage evolution of the shelf prograding wedges is observed on all margins under consideration, which may reflect a general development of an ice cover from an initial phase of non- to restricted glaciation, evolving to a mature stage of expansive glaciation. (c) 2005 Elsevier Ltd. All rights reserved.</t>
  </si>
  <si>
    <t>GEUS, DK-1350 Copenhagen, Denmark; Ist Nazl Oceanog &amp; Geofis Sperimentale, I-34010 Trieste, Italy; Univ Tromso, Dept Geol, N-9037 Tromso, Norway; Univ Bergen, Dept Earth Sci, N-5007 Bergen, Norway; Univ Coll Dublin, Sch Geol Sci, Dublin 4, Ireland; British Geol Survey, Murchison House, Edinburgh EH9 3LA, Midlothian, Scotland</t>
  </si>
  <si>
    <t>Geological Survey Of Denmark &amp; Greenland; Istituto Nazionale di Oceanografia e di Geofisica Sperimentale; UiT The Arctic University of Tromso; University of Bergen; University College Dublin; UK Research &amp; Innovation (UKRI); Natural Environment Research Council (NERC); NERC British Geological Survey</t>
  </si>
  <si>
    <t>GEUS, Oster Voldgade 10, DK-1350 Copenhagen, Denmark.</t>
  </si>
  <si>
    <t>tove.nielsen@unis.no</t>
  </si>
  <si>
    <t>CNRS, Géoazur UMR7329/AAB-9070-2020</t>
  </si>
  <si>
    <t>CNRS, Géoazur UMR7329/0000-0003-1107-3128; Stoker, Martyn/0000-0002-5314-0950; De Santis, Laura/0000-0002-7752-7754; Nielsen, Tove/0000-0002-7504-4898</t>
  </si>
  <si>
    <t>NERC [bgs03002] Funding Source: UKRI; Natural Environment Research Council [bgs03002] Funding Source: researchfish</t>
  </si>
  <si>
    <t>0264-8172</t>
  </si>
  <si>
    <t>1873-4073</t>
  </si>
  <si>
    <t>MAR PETROL GEOL</t>
  </si>
  <si>
    <t>Mar. Pet. Geol.</t>
  </si>
  <si>
    <t>10.1016/j.marpetgeo.2004.12.007</t>
  </si>
  <si>
    <t>995AG</t>
  </si>
  <si>
    <t>WOS:000234071700011</t>
  </si>
  <si>
    <t>Rosenberg, R; Dupont, S; Lundälv, T; Sköld, HN; Norkko, A; Roth, J; Stach, T; Thorndyke, M</t>
  </si>
  <si>
    <t>Biology of the basket star Gorgonocephalus caputmedusae (L.)</t>
  </si>
  <si>
    <t>CONNECTIVE-TISSUE; BODY-WALL; STIMULATION; STIFFNESS; AUTOTOMY; DERMIS</t>
  </si>
  <si>
    <t>Ophiurid basket stars belonging to the family Gorgonocephalidae are distributed from the Arctic to the Antarctic and from the shallow subtidal to the deep sea, but their biology remains poorly known. In situ observations at the mouth of the Oslofjord by a remotely operated vehicle showed that Gorgonocephalus caputmedusae had a patchy distribution at 85 to 120 m water depth and frequently occurred in association with the gorgonian Paramuricea placomus and the coral Lophelia pertusa. Morphological and histological studies show that G. caputmedusae is well adapted to capture macroplanktonic prey. Histological examination of the arms revealed the presence of a thick layer of dermal mutable connective tissue which is probably an energy-efficient way to maintain its feeding posture against the current. This layer is connected to the nerve cord suggesting that the passive mechanical properties (stiffness) is controlled by the nervous system. In the distal parts of the arms, each segment has a pair of sticky tube feet and a sophisticated system of spines and hooks, which are connected to muscles and collagenous tendons. In combination, these features were shown, in an experimental flume study, to be used for capturing the locally abundant krill species Meganyctiphanes norvegica. This is the first documentation of G. caputmedusae of this kind.</t>
  </si>
  <si>
    <t>Univ Gothenburg, Kristineberg Marine Res Stn, Dept Marine Ecol, Fiskebackskil, Sweden; Royal Swedish Acad Sci, Kristineberg Marine Res Stn, S-45034 Fiskebackskil, Sweden; Univ Gothenburg, Tjarno Marine Biol Lab, S-45296 Stromstad, Sweden</t>
  </si>
  <si>
    <t>University of Gothenburg; Royal Swedish Academy of Sciences; University of Gothenburg</t>
  </si>
  <si>
    <t>Rosenberg, R (corresponding author), Univ Gothenburg, Kristineberg Marine Res Stn, Dept Marine Ecol, Fiskebackskil, Sweden.</t>
  </si>
  <si>
    <t>Rutger.Rosenberg@kmf.gu.se</t>
  </si>
  <si>
    <t>Dupont, Sam T/F-5527-2013; Lundälv, Tomas/O-7121-2019; Norkko, Alf/K-2341-2019; Norkko, Alf/L-8736-2019; Norkko, Alf/A-1856-2012</t>
  </si>
  <si>
    <t>Norkko, Alf/0000-0002-9741-4458</t>
  </si>
  <si>
    <t>10.1007/s00227-005-0032-3</t>
  </si>
  <si>
    <t>980UN</t>
  </si>
  <si>
    <t>WOS:000233043800005</t>
  </si>
  <si>
    <t>Galley, EA; Tyler, PA; Clarke, A; Smith, CR</t>
  </si>
  <si>
    <t>Reproductive biology and biochemical composition of the brooding echinoid Amphipneustes lorioli on the Antarctic continental shelf</t>
  </si>
  <si>
    <t>ABATUS-CORDATUS ECHINODERMATA; CALORIC CONTENT; MCMURDO SOUND; INVERTEBRATES; KERGUELEN; SEASONALITY; SHACKLETONI; ECOLOGY; NIMRODI; WATER</t>
  </si>
  <si>
    <t>The bathyal West Antarctic Peninsula (WAP) shelf experiences intense seasonal variability in primary production, with summer phytoplankton blooms yielding intense pulse of phytodetritus to shelf sediments. Echinoderms form a conspicuous proportion of the deposit-feeding megabenthos on the shelf and of these Amphipneustes lorioli was the most abundant irregular echinoid. To explore the reproductive response of A. lorioli to this seasonal production cycle, A. Lorioli was sampled at one location on the WAP shelf during four separate cruises between March 2000 and March 2001. Reproductive patterns were determined by histological analyses of gonad tissue, and elemental (CHN) analyses were used to estimate the nutritional and energetic status of the body tissues. Histological analysis of the brooding echinoid A. lorioli suggested a quasi-continuous gametogenic pattern in both the ovaries and the testes. Biochemical analysis of the gonads and the gut tissues were consistent with a continuous gametogenic cycle, showing no significant changes in the biochemical composition of the tissues among seasons. Size-frequency distributions of the embryo and juvenile echinoids within the adults' brood pouches revealed a synchronous recruitment of embryos and juveniles in specific cohorts between different adult specimens. Whilst this occurrence of different cohorts of the developing brood may be an adaptation to limited brood space, there may also be an external factor influencing the synchrony between adult individuals. Nonetheless, a continuous gametogenic cycle and the lack of seasonal variation in the biochemical composition of gonad and gut tissues suggest that this deposit-feeding irregular urchin is exploiting a persistent sediment food bank in WAP shelf sediments throughout much of the year.</t>
  </si>
  <si>
    <t>Southampton Oceanog Ctr, Southampton S014 3ZH, Hants, England; NERC, British Antarct Survey, Cambridge CB3 0ET, England; Univ Hawaii, Dept Oceanog, Honolulu, HI 96822 USA</t>
  </si>
  <si>
    <t>NERC National Oceanography Centre; UK Research &amp; Innovation (UKRI); Natural Environment Research Council (NERC); NERC British Antarctic Survey; University of Hawaii System</t>
  </si>
  <si>
    <t>Galley, EA (corresponding author), Southampton Oceanog Ctr, European Way, Southampton S014 3ZH, Hants, England.</t>
  </si>
  <si>
    <t>liz_galley@hotmail.com</t>
  </si>
  <si>
    <t>10.1007/s00227-005-0069-3</t>
  </si>
  <si>
    <t>WOS:000233043800007</t>
  </si>
  <si>
    <t>Langhelle, A</t>
  </si>
  <si>
    <t>Storms, ice and whales: The Antarctic adventures of a dutch artist on a Norwegian whaler</t>
  </si>
  <si>
    <t>MARINERS MIRROR</t>
  </si>
  <si>
    <t>Ctr Maritime &amp; Reg Studies, Esbjerg, Denmark</t>
  </si>
  <si>
    <t>Langhelle, A (corresponding author), Ctr Maritime &amp; Reg Studies, Esbjerg, Denmark.</t>
  </si>
  <si>
    <t>SOC NAUTICAL RESEARCH</t>
  </si>
  <si>
    <t>NATIONAL MARITIME MUSEUM GREENWICH, LONDON SE10 9NF, ENGLAND</t>
  </si>
  <si>
    <t>0025-3359</t>
  </si>
  <si>
    <t>Mar. Mirror</t>
  </si>
  <si>
    <t>983YC</t>
  </si>
  <si>
    <t>WOS:000233267300036</t>
  </si>
  <si>
    <t>Mikouchi, T</t>
  </si>
  <si>
    <t>Northwest Africa 1950: Mineralogy and comparison with Antarctic lherzolitic shergottites</t>
  </si>
  <si>
    <t>MARTIAN METEORITES; PETROGENESIS; LEW88516; MARS</t>
  </si>
  <si>
    <t>NWA 1950 is a new lherzolitic shergottite recently recovered from Morocco and is the first sample of this group found outside Antarctica. Major constituent phases of NWA 1950 are olivine, pyroxenes, and plagioclase glass (maskelynite) and the rock shows a two distinct textures: poikilitic and non-poikilitic typical of lherzolitic shergottites. In poikilitic areas, several-millimeter-sized pyroxene oikocrysts enclose cumulus olivine and chromite. In contrast, pyroxenes are much smaller in non-poikilitic areas, and olivine and plagioclase glass are more abundant. Olivine in non-poikilitic areas is more Fe-rich (Fa(29-31)) and shows a narrower distribution than that in poikilitic, areas (Fa(23-29)). Pyroxenes in non-poikilitic areas are also more Fe-rich than those in poikilitic areas that show continuous chemical zoning suggesting fractional crystallization under a closed system. These observations indicate that pyroxene in non-poikilitic areas crystallized from evolved interstitial melts and olivine was re-equilibrated with such melts. NWA 1950 shows similar mineralogy and petrology to previously known lherzolitic shergottites (ALH 77005, LEW 88516, Y-793605 and GRV 99027) that are considered to have originated from the same igneous body on Mars. Olivine composition of NWA 1950 is intermediate between those of ALH 77005-GRV 99027 and those of LEW 88516-Y-793605, but is rather similar to ALH 77005 and GRV 99027. The subtle difference of mineral chemistry (especially, olivine composition) call be explained by different degrees of re-equilibration compared to other lherzolitic shergottites, perhaps due to different location in the same igneous body. Thus, NWA 1950 experienced a high degree of re-equilibration, similar to ALH 77005 and GRV 99027.</t>
  </si>
  <si>
    <t>Univ Tokyo, Grad Sch Sci, Dept Earth &amp; Planetary Sci, Bunkyo Ku, Tokyo 1130033, Japan</t>
  </si>
  <si>
    <t>University of Tokyo</t>
  </si>
  <si>
    <t>Mikouchi, T (corresponding author), Univ Tokyo, Grad Sch Sci, Dept Earth &amp; Planetary Sci, Bunkyo Ku, 7-3-1 Hongo, Tokyo 1130033, Japan.</t>
  </si>
  <si>
    <t>mikouchi@eps.s.u-tokyo.ac.jp</t>
  </si>
  <si>
    <t>Mikouchi, Takashi/AAY-7355-2021</t>
  </si>
  <si>
    <t>Mikouchi, Takashi/0000-0002-9998-8754</t>
  </si>
  <si>
    <t>10.1111/j.1945-5100.2005.tb00135.x</t>
  </si>
  <si>
    <t>003SI</t>
  </si>
  <si>
    <t>WOS:000234701500005</t>
  </si>
  <si>
    <t>Ellis, CJ; Crittenden, PD; Scrimgeour, CM; Ashcroft, CJ</t>
  </si>
  <si>
    <t>Translocation of 15N indicates nitrogen recycling in the mat-forming lichen Cladonia portentosa</t>
  </si>
  <si>
    <t>NEW PHYTOLOGIST</t>
  </si>
  <si>
    <t>ammonium; Cladonia portentosa; glycine; growth; internal recycling; lichens; nitrate; nitrogen translocation</t>
  </si>
  <si>
    <t>FUNGAL GROWTH-RESPONSE; ANTARCTIC MACROLICHEN; DOMINATED SYSTEMS; CALLUNA-VULGARIS; NUTRIENT; DYNAMICS; PATTERNS; CARBON; RANGIFERINA; LIMITATION</t>
  </si>
  <si>
    <t>Nitrogen translocation was measured in Cladonia portentosa during 2 yr growth in Scottish heathland. Translocation was predicted to occur if N is resorbed from senescent basal tissue and recycled within the thallus. N-15 was introduced into either the lower (TU thalli) or upper (TD thalli) 25 mm of 50-mm-long thalli as N-15-NH4+, N-15-NO3- or N-15-glycine. Labelled thalli were placed within intact lichen cushions, either upright (TU) or inverted (TD). Vertical distribution of label was quantified immediately following labelling and after 1 and 2 yr. Independently of the form of introduced label, N-15 migrated upwards in TU thalli, with new growth being a strong sink. Sink regions for N-15 during year 1 (including new growth) became sources of N-15 translocated to new growth in year 2. Upward migration into inverted bases was minimal in TD thalli, but was again marked in new growth that developed from inverted apices. Relocation of N to regions of growth could facilitate internal N recycling, a process postulated to explain the ecological success of mat-forming lichens.</t>
  </si>
  <si>
    <t>Univ Nottingham, Sch Biol, Nottingham NG7 2RD, England; Scottish Crop Res Inst, Dundee DD2 5DA, Scotland</t>
  </si>
  <si>
    <t>University of Nottingham; James Hutton Institute</t>
  </si>
  <si>
    <t>Royal Bot Gdn Edinburg, 20A Inverleith Row, Edinburgh EH3 5LR, Midlothian, Scotland.</t>
  </si>
  <si>
    <t>pdc@nottingham.ac.uk</t>
  </si>
  <si>
    <t>Ellis, Christopher/0000-0003-1916-8746</t>
  </si>
  <si>
    <t>0028-646X</t>
  </si>
  <si>
    <t>1469-8137</t>
  </si>
  <si>
    <t>NEW PHYTOL</t>
  </si>
  <si>
    <t>New Phytol.</t>
  </si>
  <si>
    <t>10.1111/j.1469-8137.2005.01524.x</t>
  </si>
  <si>
    <t>972GF</t>
  </si>
  <si>
    <t>WOS:000232441600018</t>
  </si>
  <si>
    <t>Hellmer, HH; Schodlok, MP; Wenzel, M; Schröter, JG</t>
  </si>
  <si>
    <t>On the influence of adequate Weddell Sea characteristics in a large-scale global ocean circulation model</t>
  </si>
  <si>
    <t>OCEAN DYNAMICS</t>
  </si>
  <si>
    <t>state estimation; adjoint method; Weddell Sea; Global ocean</t>
  </si>
  <si>
    <t>ANTARCTIC BOTTOM WATER; SOUTHERN-OCEAN; DEEP WATERS; SCOTIA SEA; VARIABILITY; TRANSPORT; MASSES; EXPORT</t>
  </si>
  <si>
    <t>Global ocean circulation models usually lack an adequate consideration of high-latitude processes due to a limited model domain or insufficient resolution. Without the processes in key areas of the global thermohaline circulation, the characteristics and flow of deep and bottom waters cannot be modeled realistically. In this study, a high-resolution (similar to 20 km) ocean model focused on the Weddell Sea sector of the Southern Ocean is combined with a low-resolution (2 degrees x 2 degrees) global ocean model applying the state estimation technique. Temperature, salinity, and velocity data on two Weddell Sea sections from the regional model are used as constraints for the large-scale model in addition to satellite altimetry and sea-surface temperatures. The differences between the model with additional constraints and without document that the Weddell Sea circulation exerts significant influence on the course of the Antarctic Circumpolar Current with consequences for Southern Ocean water mass characteristics and the spreading of deep and bottom waters in the South Atlantic. Furthermore, a warming trend in the period 1993-2001 was found in the Weddell Sea and adjacent basins in agreement with float measurements in the upper Southern Ocean. Teleconnections to the North Atlantic are suggested but need further studies to demonstrate their statistical significance.</t>
  </si>
  <si>
    <t>Alfred Wegener Inst Polar &amp; Marine Res, D-27570 Bremerhaven, Germany</t>
  </si>
  <si>
    <t>Hellmer, HH (corresponding author), Alfred Wegener Inst Polar &amp; Marine Res, Bussestr 24, D-27570 Bremerhaven, Germany.</t>
  </si>
  <si>
    <t>hhellmer@awi-bremerhaven.de</t>
  </si>
  <si>
    <t>Schröter, Jens G/H-8806-2016</t>
  </si>
  <si>
    <t>Schröter, Jens G/0000-0002-9240-5798; Hellmer, Hartmut/0000-0002-9357-9853</t>
  </si>
  <si>
    <t>1616-7341</t>
  </si>
  <si>
    <t>1616-7228</t>
  </si>
  <si>
    <t>OCEAN DYNAM</t>
  </si>
  <si>
    <t>Ocean Dyn.</t>
  </si>
  <si>
    <t>10.1007/s10236-005-0112-4</t>
  </si>
  <si>
    <t>978FU</t>
  </si>
  <si>
    <t>WOS:000232859800003</t>
  </si>
  <si>
    <t>Mandal, SK; Klein, SR; Jackson, JD</t>
  </si>
  <si>
    <t>Cherenkov radiation from e+e- pairs and its effect on νe induced showers -: art. no. 093003</t>
  </si>
  <si>
    <t>PHYSICAL REVIEW D</t>
  </si>
  <si>
    <t>PARTICLES</t>
  </si>
  <si>
    <t>We calculate the Cherenkov radiation from an e(+)e(-) pair at small separations, as occurs shortly after a pair conversion. The radiation is reduced (compared to that from two independent particles) when the pair separation is smaller than the wavelength of the emitted light. We estimate the reduction in light in large electromagnetic showers, and discuss the implications for detectors that observe Cherenkov radiation from showers in the Earth's atmosphere, as well as in oceans and Antarctic ice.</t>
  </si>
  <si>
    <t>Lawrence Berkeley Lab, Berkeley, CA 94720 USA</t>
  </si>
  <si>
    <t>United States Department of Energy (DOE); Lawrence Berkeley National Laboratory</t>
  </si>
  <si>
    <t>Lawrence Berkeley Lab, Berkeley, CA 94720 USA.</t>
  </si>
  <si>
    <t>Klein, Spencer/0000-0003-2841-6553</t>
  </si>
  <si>
    <t>AMER PHYSICAL SOC</t>
  </si>
  <si>
    <t>COLLEGE PK</t>
  </si>
  <si>
    <t>ONE PHYSICS ELLIPSE, COLLEGE PK, MD 20740-3844 USA</t>
  </si>
  <si>
    <t>1550-7998</t>
  </si>
  <si>
    <t>1550-2368</t>
  </si>
  <si>
    <t>PHYS REV D</t>
  </si>
  <si>
    <t>Phys. Rev. D</t>
  </si>
  <si>
    <t>10.1103/PhysRevD.72.093003</t>
  </si>
  <si>
    <t>Astronomy &amp; Astrophysics; Physics, Particles &amp; Fields</t>
  </si>
  <si>
    <t>988NQ</t>
  </si>
  <si>
    <t>WOS:000233608300013</t>
  </si>
  <si>
    <t>Kock, KH</t>
  </si>
  <si>
    <t>Antarctic icefishes (Channichthyidae): a unique family of fishes. A review, Part II</t>
  </si>
  <si>
    <t>SOUTH SHETLAND ISLANDS; CHAMPSOCEPHALUS-GUNNARI; MACKEREL ICEFISH; ELEPHANT ISLAND; HEMOGLOBINLESS ICEFISHES; MITOCHONDRIAL PHYLOGENY; INTERANNUAL VARIATION; HARPAGIFER-BISPINIS; AGE-DETERMINATION; SCOTIA SEA</t>
  </si>
  <si>
    <t>Icefish or white- blooded fish are a family of species unique among vertebrates in that they possess no haemoglobin. With the exception of one species which occurs on the southern Patagonian shelf, icefish live only in the cold-stable and oxygen-rich environment of the Southern Ocean. It is still questionable how old icefish are in evolutionary terms: they may not be older than 6 Ma, i.e. they evolved well after the Southern Ocean started to cool down or they are 15-20 Ma old and started to evolve some time after the formation of the Antarctic Circumpolar Current. Individuals of most icefish species with the exception of species of the genus Champsocephalus have been found down to 700-800 m depth, a few even down to more than 1,500 in. Icefish have been shown to present organ-level adaptations on different levels to compensate for the 'disadvantages' of lacking respiratory pigments. These include a low metabolic rate, well perfused gills, increased blood volume, increased cardiac output, cutaneous uptake of oxygen, increased blood flow with low viscosity, enlarged capillaries, large heart, and increased skin vascularity. Biological features, such as reproduction and growth, are not unique and are comparable to other notothenioids living in the same environment. Icefish produce large yolky eggs which have a diameter of more than 4 mm in most species. Consequently, the number of eggs produced is comparatively small and exceeds 10,000-20,000 eggs in only a few cases. With the exception of species of the genus Champsocephalus which mature at an age of 3 to 4 years, icefish do not attain maturity before they are 5-8 years old. Spawning period of most icefish species is autumn-winter. The incubation period spans from 2 to 3 months in the north of the Southern Ocean to more than 6 months close to the continent. Growth in icefish to the extent it is known is fairly rapid. They grow 610 cm in length per annum before they reach spawning maturity. Icefish feed primarily on krill and fish. Some icefish species were abundant enough to be exploited by commercial fisheries, primarily in the 1970s and 1980s with Champsocephalus gunnari as the main target species. Most stocks of this species had been overexploited by the beginning of the 1990s, some had further declined due to natural causes. Other species taken as by-catch species in fisheries were Chaenocephalus aceratus, Pseudochaenichthys georgianus, and Chionodraco rastrospinosus. Chaenodraco wilsoni was the only species exploited on a commercial scale in the high-Antarctic.</t>
  </si>
  <si>
    <t>Bundesforsch Anstalt Fischerei, Inst Seefischerei, D-22767 Hamburg, Germany</t>
  </si>
  <si>
    <t>Bundesforsch Anstalt Fischerei, Inst Seefischerei, Palmaille 9, D-22767 Hamburg, Germany.</t>
  </si>
  <si>
    <t>karl-hermann.kock@ish.bfa-fisch.de</t>
  </si>
  <si>
    <t>10.1007/s00300-005-0020-6</t>
  </si>
  <si>
    <t>992HX</t>
  </si>
  <si>
    <t>WOS:000233876100001</t>
  </si>
  <si>
    <t>Dartnall, HJG; Hollwedel, W; de Paggi, JC</t>
  </si>
  <si>
    <t>The freshwater fauna of Macquarie Island, including a redescription of the endemic water-flea Daphnia gelida (Brady) (Anomopoda: Crustacea)</t>
  </si>
  <si>
    <t>SUB-ANTARCTIC ISLANDS; GENUS DAPHNIOPSIS; SIGNY ISLAND; LAKES; CHYDORIDAE; CLADOCERA; TAXONOMY; REVISION; STUDER; SARS</t>
  </si>
  <si>
    <t>The freshwater invertebrate fauna (excluding the Protozoa) of Macquarie Island is collated. This includes two Platylielminthes, two Gastrotricha, three Tardigrada, 41 rotifera, at least eight Nematoda, nine Annelida, and 21 Arthropoda. The latter comprises six species of Anomopoda, two Copepoda, two Ostracoda, an Isopoda, five Acarina, and at least five species of Insecta with aquatic or semi-aquatic larvae. The freshwater Anomopoda (Cladocera) of Macquarie Island are re-evaluated, six species are now recognized and the largest, identified as Daphnia gelida (Brady), is redescribed. The records of both Alona weinecki Studer and Pleuroxus macquariensis Frey are confirmed, while that of Macrothrix hirsuticornis Norman and Brady is accepted with some reservations. Alona quadrangularis (O.F. Muller) is re-instated and records of Chydorus sphaericus O.F. Muller ascribed to C. patagonicus Ekman.</t>
  </si>
  <si>
    <t>Macquarie Univ, Dept Biol Sci, Sydney, NSW 2109, Australia; Inst Nacl Limnol, RA-3016 Santo Tome, Argentina</t>
  </si>
  <si>
    <t>Macquarie University</t>
  </si>
  <si>
    <t>Dartnall, HJG (corresponding author), Macquarie Univ, Dept Biol Sci, Sydney, NSW 2109, Australia.</t>
  </si>
  <si>
    <t>herbdartnall@pip.com.au</t>
  </si>
  <si>
    <t>10.1007/s00300-005-0016-2</t>
  </si>
  <si>
    <t>WOS:000233876100003</t>
  </si>
  <si>
    <t>Gielwanowska, I; Szczuka, E</t>
  </si>
  <si>
    <t>New ultrastructural features of organelles in leaf cells of Deschampsia antardica Desv</t>
  </si>
  <si>
    <t>ANTARCTIC VASCULAR PLANTS; GROWTH</t>
  </si>
  <si>
    <t>An electron microscope has been used to investigate the ultrastructure of leaf cells in Deschampsia antarctica Desv. (Poaceae). The leaf anatomy exhibits features typical of xerophytes. New ultrastructural features were found in mesophyll cells. Chloroplasts in mesophyll cells of D. antarctica leaves form small vesicles and pockets. The outer chloroplast membrane forms vesicles, and pockets are invaginations of both membranes. The invaginations contain small vesicles, mitochondria, or lipid droplets. The mitochondria or peroxisomes adhere very tightly to the chloroplasts.</t>
  </si>
  <si>
    <t>Gielwanowska, I (corresponding author), Univ Warmia &amp; Mazury, Dept Plant Physiol &amp; Biotechnol, Oczapowskiego 1A, PL-10719 Olsztyn, Poland.</t>
  </si>
  <si>
    <t>i.gietwanowska@uwm.edu.pl</t>
  </si>
  <si>
    <t>Szczuka, Ewa/0000-0002-0042-6656</t>
  </si>
  <si>
    <t>10.1007/s00300-005-0024-2</t>
  </si>
  <si>
    <t>WOS:000233876100005</t>
  </si>
  <si>
    <t>Cantero, ALP; Vervoort, W</t>
  </si>
  <si>
    <t>Mixoscyphus antarcticus gen. nov., sp nov (Cnidaria, Hydrozoa, Sertularildae), the first truly endemic genus of Antarctic benthic hydroids</t>
  </si>
  <si>
    <t>EXPEDITIONS</t>
  </si>
  <si>
    <t>A genus and species of Antarctic benthic hydroids new to science, Mixoscyphus antarcticus gen. nov., sp. nov., is described and figured. Its systematic position amongst allied genera of the family Sertulariidae is discussed. The studied material originates from the South Shetland Islands area (West Antarctica), which was collected by several Spanish and US Antarctic expeditions. Mixoscyphus gen. nov. currently represents the only complete endemic genus of Antarctic benthic hydrozoans. A discussion of other genera of benthic hydroids that are largely endemic to the Antarctic is also provided.</t>
  </si>
  <si>
    <t>Univ Valencia, Inst Cavanilles Biodivers &amp; Biol Evolut, Valencia 46071, Spain; Museum Natl Hist Nat, NL-2300 RA Leiden, Netherlands</t>
  </si>
  <si>
    <t>alvaro.1.pena@uv.es</t>
  </si>
  <si>
    <t>10.1007/s00300-005-0025-1</t>
  </si>
  <si>
    <t>WOS:000233876100006</t>
  </si>
  <si>
    <t>Naganuma, T; Hua, PN; Okamoto, T; Ban, S; Imura, S; Kanda, H</t>
  </si>
  <si>
    <t>Depth distribution of euryhaline halophilic bacteria in Suribati Ike, a meromictic lake in East Antarctica</t>
  </si>
  <si>
    <t>16S RIBOSOMAL-RNA; HETEROTROPHIC BACTERIA; GAMMA-PROTEOBACTERIUM; HALOTOLERANT BACTERIA; HALOMONAS-MERIDIANA; VESTFOLD HILLS; SALINE LAKES; SP-NOV; DIVERSITY; SEQUENCES</t>
  </si>
  <si>
    <t>Euryhaline halophiles grow over a wide range of salinity, from &lt; 3% NaCl (seawater equivalent) to &gt; 15% NaCl and even saturation level (about 30% NaCl). Several species of euryhaline halophiles occur worldwide, especially in marine environments and also in aquatic and terrestrial habitats of the Antarctic ice-free areas. A biogeographic view of Antarctic halophiles is that their migration among lakes on land is more difficult than in marine setting. Ponds and lakes on land may thus serve as islands which facilitate the selection and separation of unique species. We isolated euryhaline halophiles from the saline lake, Suribati Ike, near Syowa Station and placed them into seven groups, each demonstrating a clear depth-related distribution. Six of the seven groups probably represent new species of the genera Halomonas and Marinobacter. This result suggests that Antarctic saline lakes exhibit high selectivity of unique euryhaline halophiles and possibly of other microbial groups.</t>
  </si>
  <si>
    <t>Hiroshima Univ, Grad Sch Biosphere Sci, Higashihiroshima 7398528, Japan; Univ Shiga Prefecture, Fac Environm Sci, Hikone 5228533, Japan; Natl Inst Polar Res, Itabashi Ku, Tokyo 1738515, Japan; Univ Tokyo, Inst Ind Sci, Meguro Ku, Tokyo 1538505, Japan</t>
  </si>
  <si>
    <t>Hiroshima University; University Shiga Prefecture; Research Organization of Information &amp; Systems (ROIS); National Institute of Polar Research (NIPR) - Japan; University of Tokyo</t>
  </si>
  <si>
    <t>Hiroshima Univ, Grad Sch Biosphere Sci, Higashihiroshima 7398528, Japan.</t>
  </si>
  <si>
    <t>takn@hiroshima-u.ac.jp</t>
  </si>
  <si>
    <t>Okamoto, Takuji/N-5941-2016; Naganuma, Takeshi/AAX-7064-2021; Hua, Ngoc-Phuc/D-4333-2013</t>
  </si>
  <si>
    <t>Okamoto, Takuji/0000-0002-4103-3330; Naganuma, Takeshi/0000-0003-1925-9461; Hua, Ngoc-Phuc/0000-0001-6035-5872; Ban, Syuhei/0000-0002-7168-5583</t>
  </si>
  <si>
    <t>10.1007/s00300-005-0026-0</t>
  </si>
  <si>
    <t>WOS:000233876100007</t>
  </si>
  <si>
    <t>Ledru, MP; Rousseau, DD; Cruz, FW; Riccomini, C; Karmann, I; Martin, L</t>
  </si>
  <si>
    <t>Paleoclimate changes during the last 100,000 yr from a record in the Brazilian Atlantic rainforest region and interhemispheric comparison</t>
  </si>
  <si>
    <t>Southern Hemisphere; tropics; paleoclimatology; palynology; rainforest; long record; interhemispheric comparison</t>
  </si>
  <si>
    <t>SOUTH-AMERICA; TEMPERATURE-GRADIENTS; GLACIAL MAXIMUM; CLIMATE-CHANGE; HIGH-LATITUDE; GREENLAND; VEGETATION; POLLEN; DEGLACIATION; PLEISTOCENE</t>
  </si>
  <si>
    <t>A long terrestrial record, Colonia CO-3, from the Atlantic rainforest region in Brazil (23 degrees 52'S, 46 degrees 42'20 W, 900 in a.s.l.) registrates variations in the forest expansion during the last 100,000 yr. The 780-cm depth core was analyzed at 2-cm intervals and arboreal pollen frequencies were compared to nearby speleothem stable isotope records and neighboring marine records from the tropical Atlantic. To evaluate regional versus global climate forcing, our record was compared with Greenland and Antarctic ice-core records. These comparisons suggest that changes in temperature seen in polar latitudes relate to moisture changes: e.g., to changes in the length of the dry season, in tropical and subtropical latitudes during glacial as well as interglacial times. These climatic changes result from changes in the frequency of polar air incursions to these latitudes inducing a permanent cloud cover and precipitation. This is an important result that should help define paleoclimatic features in the Southern Hemisphere for the last glaciation. (c) 2005 University of Washington. All rights reserved.</t>
  </si>
  <si>
    <t>Univ Montpellier 2, CNRS, UMR 5554, ISEM Paleoenvironm, F-34095 Montpellier, France; Univ Sao Paulo, Inst Geosci, BR-05508900 Sao Paulo, Brazil; Inst Rech Dev, F-93143 Bondy, France; Univ Massachusetts, Dept Geosci, Amherst, MA 01002 USA</t>
  </si>
  <si>
    <t>Centre National de la Recherche Scientifique (CNRS); CNRS - Institute of Ecology &amp; Environment (INEE); Institut de Recherche pour le Developpement (IRD); Universite de Montpellier; Universidade de Sao Paulo; Institut de Recherche pour le Developpement (IRD); University of Massachusetts System; University of Massachusetts Amherst</t>
  </si>
  <si>
    <t>Univ Montpellier 2, CNRS, UMR 5554, ISEM Paleoenvironm, Pl Eugene Bataillon, F-34095 Montpellier, France.</t>
  </si>
  <si>
    <t>ledru@msem.univ-montp2.fr</t>
  </si>
  <si>
    <t>karmann, ivo/H-8106-2013; Cruz, Francisco w./G-6059-2012; Riccomini, Claudio/G-1764-2010; Rousseau, Denis-Didier/I-6892-2012; IPO, PAGES/JXY-7546-2024</t>
  </si>
  <si>
    <t>Riccomini, Claudio/0000-0002-7249-5706; Rousseau, Denis-Didier/0000-0003-2475-3405; Ledru, Marie-Pierre/0000-0002-8079-9320; Cruz, Francisco/0000-0002-4030-4581; karmann, ivo/0000-0001-6905-8962</t>
  </si>
  <si>
    <t>1096-0287</t>
  </si>
  <si>
    <t>10.1016/j.yqres.2005.08.006</t>
  </si>
  <si>
    <t>985LX</t>
  </si>
  <si>
    <t>WOS:000233380300015</t>
  </si>
  <si>
    <t>Ilic, R; Rusov, VD; Pavlovych, VN; Vaschenko, VM; Hanzic, L; Bondarchuk, YA</t>
  </si>
  <si>
    <t>Radon in Antarctica</t>
  </si>
  <si>
    <t>RADIATION MEASUREMENTS</t>
  </si>
  <si>
    <t>22nd International Conference on Nuclear Tracks in Solids (ICNTS 22)</t>
  </si>
  <si>
    <t>AUG 23-27, 2004</t>
  </si>
  <si>
    <t>Univ Autonoma Barcelona, Barcelona, SPAIN</t>
  </si>
  <si>
    <t>Univ Autonoma Barcelona</t>
  </si>
  <si>
    <t>Antarctica; radon; radon storms; CR-39; earthquake; tectonic activity; atmospheric aerosols; Ukrainian Antarctic station; magnetic field</t>
  </si>
  <si>
    <t>VON-NEUMAYER STATION; RADIOACTIVITY</t>
  </si>
  <si>
    <t>The paper reviews results of radon measurements obtained in Antarctic research stations in the last 40 years by both active and passive radon monitors. A brief description of the radon laboratory set-up in the Ukrainian Academician Vernadsky station on the Antarctic Peninsula (W 64 degrees 16', S 65 degrees 15), where radon is measured by two types of etched track Rn dosimeter and 4 types of continuous radon monitoring devices is presented. Some selected results of research work are described related to: (i) analysis of radon storms, defined as an abrupt increase of Rn-222 during the occurrence of a cyclone, and its applicability for the study of the transport of air masses of continental origin to Antarctica; (ii) a study of the correlation of changes of radon concentration and geomagnetic field induced by tectonic activity and its application to predicting tectonomagnetic anomalies, and (iii) verification of a newly developed theoretical model based on noise analysis of the measured radon signal for earthquake prediction. Suggestions for future utilization of radon for basic research in Antarctica (and not only in Antarctica) conclude the contribution. (c) 2005 Elsevier Ltd. All rights reserved.</t>
  </si>
  <si>
    <t>Jozef Stefan Inst, Ljubljana 1000, Slovenia; Univ Maribor, Fac Civil Engn, SLO-2000 Maribor, Slovenia; Natl Polytech Univ, Dept Theoret &amp; Expt Nucl Phys, UA-65044 Odessa, Ukraine; Natl Taras Shevchenko Univ, UA-252022 Kiev, Ukraine; Inst Nucl Res, UA-03028 Kiev, Ukraine; Ukrainian Antarctic Ctr, UA-01601 Kiev, Ukraine</t>
  </si>
  <si>
    <t>Slovenian Academy of Sciences &amp; Arts (SASA); Jozef Stefan Institute; University of Maribor; Ministry of Education &amp; Science of Ukraine; Odessa National Polytechnic University; Ministry of Education &amp; Science of Ukraine; Taras Shevchenko National University of Kyiv; National Academy of Sciences Ukraine; V. M. Glushkov Institute of Cybernetics, National Academy of Sciences of Ukraine; Institute for Nuclear Research of NASU; Ministry of Education &amp; Science of Ukraine; State Institution National Antarctic Scientific Center</t>
  </si>
  <si>
    <t>Jozef Stefan Inst, Jamova 39, Ljubljana 1000, Slovenia.</t>
  </si>
  <si>
    <t>radomir.ilic@ijs.si</t>
  </si>
  <si>
    <t>Rusov, Vitaliy D./I-1932-2015</t>
  </si>
  <si>
    <t>Rusov, Vitaliy D./0000-0003-1091-1396; Hanzic, Lucija/0000-0002-8209-4308</t>
  </si>
  <si>
    <t>1350-4487</t>
  </si>
  <si>
    <t>RADIAT MEAS</t>
  </si>
  <si>
    <t>Radiat. Meas.</t>
  </si>
  <si>
    <t>2-6</t>
  </si>
  <si>
    <t>10.1016/j.radmeas.2005.03.022</t>
  </si>
  <si>
    <t>Nuclear Science &amp; Technology</t>
  </si>
  <si>
    <t>986ZF</t>
  </si>
  <si>
    <t>WOS:000233487500053</t>
  </si>
  <si>
    <t>Pokorny, R; Olejníková, P; Balog, M; Zifcák, P; Hölker, U; Janssen, M; Bend, J; Höfer, M; Holiencin, R; Hudecová, D; Varecka, L</t>
  </si>
  <si>
    <t>Characterization of microorganisms isolated from lignite excavated from the Zahorie coal mine (southwestern Slovakia)</t>
  </si>
  <si>
    <t>RESEARCH IN MICROBIOLOGY</t>
  </si>
  <si>
    <t>ancient microorganisms; cryptobiosis; low-rank coal; antibiotic resistance; molecular typing</t>
  </si>
  <si>
    <t>TRICHODERMA-ATROVIRIDE; FUSARIUM-OXYSPORUM; ANTARCTIC ICE; LAKE VOSTOK; IDENTIFICATION; SOLUBILIZATION; EXPRESSION; BACTERIA; LACCASE; FUNGI</t>
  </si>
  <si>
    <t>Microorganisms were isolated from lignite freshly excavated in the Zahorie coal mine (southwestern Slovakia) under conditions excluding contamination with either soil or air-borne microorganisms. The isolates represented both Prokarya and Eukarya (fungi). All were able to grow on standard media, although some microorganisms were unstable and became extinct during storage of coal samples. Bacteria belonged to the genera Bacillus, Staphylococcus, and Rhodococcus, according to both morphological criteria and ITS sequences. Several bacterial isolates were resistant to antibiotics. The presence of anaerobic bacteria was also documented, although they have not yet been identified. Fungal isolates were typified by using their ITS sequences. They belonged to the genera Trichoderma (Hypocrea), Penicillium, Epicoccum, Metarhizium (Cordyceps), and Cladosporium. Several fungi produced compounds with antibiotic action against standard bacterial strains. The evidence for the presence of microorganisms in native lignite was obtained by means of fluorescence microscopy, scanning electron microscopy, and electron microprobe analysis. Results demonstrated that microorganisms were able to survive in the low-rank coal over a long time period. (c) 2005 Elsevier SAS. All rights reserved.</t>
  </si>
  <si>
    <t>Slovak Univ Technol Bratislava, Dept Biochem &amp; Microbiol, Bratislava 81237, Slovakia; Univ Bonn, Inst Cellular &amp; Mol Bot, D-53115 Bonn, Germany; Bioreact Gmbh, D-53115 Bonn, Germany; Slovak Acad Sci, Inst Inorgan Chem, Bratislava, Slovakia; Inst Welding, Bratislava, Slovakia; Bana Zahorie, Cary, Slovakia</t>
  </si>
  <si>
    <t>Slovak University of Technology Bratislava; University of Bonn; Slovak Academy of Sciences</t>
  </si>
  <si>
    <t>Varecka, L (corresponding author), Slovak Univ Technol Bratislava, Dept Biochem &amp; Microbiol, Radlinskeho 9, Bratislava 81237, Slovakia.</t>
  </si>
  <si>
    <t>ludovit.varecka@stuba.sk</t>
  </si>
  <si>
    <t>Olejnikova, Petra/0000-0001-9110-5526</t>
  </si>
  <si>
    <t>0923-2508</t>
  </si>
  <si>
    <t>RES MICROBIOL</t>
  </si>
  <si>
    <t>Res. Microbiol.</t>
  </si>
  <si>
    <t>10.1016/j.resmic.2005.04.010</t>
  </si>
  <si>
    <t>982GT</t>
  </si>
  <si>
    <t>WOS:000233146800005</t>
  </si>
  <si>
    <t>Gayó, E; Hinojosa, LF; Villagrán, C</t>
  </si>
  <si>
    <t>On the persistence of Tropical Paleofloras in central Chile during the Early Eocene</t>
  </si>
  <si>
    <t>Paleogene of Arauco; Early Eocene; leaf physiognomy; paleoclimate; central Chile</t>
  </si>
  <si>
    <t>CLIMATE; TERTIARY; PALEOGENE; PALEOCLIMATE; TEMPERATURE; CHARACTERS; AUSTRALIA; BOUNDARY; LEAVES; FLORA</t>
  </si>
  <si>
    <t>Mixed paleofloras first appeared during the Early Eocene of southern South America. These floras were a blend of cold and warm taxa with Austral-Antarctic and Neotropical affinities. Despite the onset of mixed floras, Neotropical floras persisted in central Chile during the Early Eocene. In this study, we analyze the reasons for this persistence and also show that a relationship exists between this persistence and regional paleoclimate. We established the taxonomical composition, associated paleoclimate and phytogeographic affinities of an Early Eocene flora at Caleta Cocholgue, coastal central Chile. Our results indicate that tropical and subtropical taxa prevailed at Caleta Cocholgue. These were chiefly Lauraceae, today associated with a humid-warm climate. Physiognomic analyses indicate Mean Annual Temperature and Mean Annual Precipitation above 19 degrees C and 260 cm, respectively. Moreover, a phytogeographic analysis demonstrates that the Caleta Cocholg-be is closely related to other tropical floras, and poorly linked to contemporary mixed floras. These results strongly suggest that tropical floras persisted in central Chile during the Early Eocene and formed a belt across current subtropical latitudes from southern South America, between 25 degrees S and 37 degrees S. This persistence might be related to the Early Eocene Climatic Optimum and to a shrinking tropical belt, compared to its former Paleocene/Eocene extension. (c) 2005 Elsevier B.V. All rights reserved.</t>
  </si>
  <si>
    <t>Univ Chile, Lab Sistemat &amp; Ecol Vegetal, Dept Ciencias Ecol, Fac Ciencias, Santiago, Chile</t>
  </si>
  <si>
    <t>Universidad de Chile</t>
  </si>
  <si>
    <t>Pontificia Univ Catolica Chile, Dept Ecol, Fac Ciencias Biol, Alameda 340, Santiago, Chile.</t>
  </si>
  <si>
    <t>egayoher@bio.puc.cl</t>
  </si>
  <si>
    <t>Hinojosa, Luis Felipe/J-7557-2017; Gayo, Eugenia M/C-4055-2012; Hinojosa, Luis Felipe/A-7599-2008</t>
  </si>
  <si>
    <t>Gayo, Eugenia M./0000-0003-0746-0512; Hinojosa, Luis Felipe/0000-0001-5646-649X</t>
  </si>
  <si>
    <t>10.1016/j.revpalbo.2005.09.001</t>
  </si>
  <si>
    <t>991ZT</t>
  </si>
  <si>
    <t>WOS:000233854200004</t>
  </si>
  <si>
    <t>Sundberg, KÅT; Hughes, ARW; Collier, AB; Eriksson, PTI; Blomberg, LG</t>
  </si>
  <si>
    <t>Magnetic field oscillations at SANAE IV related to sudden increases in solar wind dynamic pressure</t>
  </si>
  <si>
    <t>SOUTH AFRICAN JOURNAL OF SCIENCE</t>
  </si>
  <si>
    <t>INTERPLANETARY SHOCKS; COMMENCEMENT; PULSATIONS; IMPULSES</t>
  </si>
  <si>
    <t>The magnetospheric response at times when sudden increases in the solar wind dynamic pressure cause terrestrial magnetic storms has been studied with data from the pulsation magnetometer at the South African Antarctic research base, SANAE IV. For solar wind events that lead to a sudden increase in the terrestrial magnetic field at Hermanus and Kakioka, related pulsations were found in the SANAE IV data. We studied seven solar wind events of special interest between 19 February 2003 and 18 February 2004. The events can be divided into two main pulsation groups: one group had a well-defined frequency and a duration of about 15 minutes, whereas the other had a less well-defined frequency content, longer duration and exhibited large amplitude fluctuations. The analysis confirms the conclusion that the measured response time of the magnetosphere to disturbances in the solar wind is broadly consistent with the propagation speed of magneto-hydrodynamic waves driven by solar wind dynamic pressure.</t>
  </si>
  <si>
    <t>Univ KwaZulu Natal, Sch Phys, ZA-4041 Durban, South Africa; Royal Inst Technol, Alfven Lab, Stockholm, Sweden</t>
  </si>
  <si>
    <t>University of Kwazulu Natal; Royal Institute of Technology</t>
  </si>
  <si>
    <t>Hughes, ARW (corresponding author), Univ KwaZulu Natal, Sch Phys, ZA-4041 Durban, South Africa.</t>
  </si>
  <si>
    <t>hughes@ukzn.ac.za</t>
  </si>
  <si>
    <t>Collier, Andrew B/H-3752-2011</t>
  </si>
  <si>
    <t>ACAD SCIENCE SOUTH AFRICA A S S AF</t>
  </si>
  <si>
    <t>LYNWOOD RIDGE</t>
  </si>
  <si>
    <t>PO BOX 72135, LYNWOOD RIDGE 0040, SOUTH AFRICA</t>
  </si>
  <si>
    <t>0038-2353</t>
  </si>
  <si>
    <t>1996-7489</t>
  </si>
  <si>
    <t>S AFR J SCI</t>
  </si>
  <si>
    <t>S. Afr. J. Sci.</t>
  </si>
  <si>
    <t>033FP</t>
  </si>
  <si>
    <t>WOS:000236832500018</t>
  </si>
  <si>
    <t>Remote islands reveal rapid rise of southern hemisphere sea debris</t>
  </si>
  <si>
    <t>THESCIENTIFICWORLDJOURNAL</t>
  </si>
  <si>
    <t>PLASTIC DEBRIS; OCEAN; GARBAGE</t>
  </si>
  <si>
    <t>British Antarctic Survey, NERC, Cambridge CB3 0ET, England; Natl Univ Ireland Univ Coll Cork, Cork, Ireland</t>
  </si>
  <si>
    <t>UK Research &amp; Innovation (UKRI); Natural Environment Research Council (NERC); NERC British Antarctic Survey; University College Cork</t>
  </si>
  <si>
    <t>HINDAWI LTD</t>
  </si>
  <si>
    <t>ADAM HOUSE, 3RD FLR, 1 FITZROY SQ, LONDON, W1T 5HF, ENGLAND</t>
  </si>
  <si>
    <t>1537-744X</t>
  </si>
  <si>
    <t>THESCIENTIFICWORLDJO</t>
  </si>
  <si>
    <t>TheScientificWorldJOURNAL</t>
  </si>
  <si>
    <t>10.1100/tsw.2005.120</t>
  </si>
  <si>
    <t>Environmental Sciences; Multidisciplinary Sciences</t>
  </si>
  <si>
    <t>Environmental Sciences &amp; Ecology; Science &amp; Technology - Other Topics</t>
  </si>
  <si>
    <t>110NP</t>
  </si>
  <si>
    <t>WOS:000242385900004</t>
  </si>
  <si>
    <t>Lifton, NA; Bieber, JW; Clem, JM; Duldig, ML; Evenson, P; Humble, JE; Pyle, R</t>
  </si>
  <si>
    <t>Addressing solar modulation and long-term uncertainties in scaling secondary cosmic rays for in situ cosmogenic nuclide applications</t>
  </si>
  <si>
    <t>solar activity; scaling models; production rates; spallogenic nucleons; muons; cutoff rigidity</t>
  </si>
  <si>
    <t>VERTICAL CUTOFF RIGIDITIES; MOMENTUM MUON SPECTRUM; PRODUCTION-RATES; NEUTRON MONITOR; SEA-LEVEL; GEOMAGNETIC-FIELD; CRITICAL REEVALUATION; COUPLING FUNCTIONS; LATITUDE SURVEY; ATTENUATION COEFFICIENT</t>
  </si>
  <si>
    <t>Solar modulation affects the secondary cosmic rays responsible for in situ cosmogenic nuclide (CN) production the most at the high geomagnetic latitudes to which CN production rates are traditionally referenced. While this has long been recognized (e.g., D. Lai, B. Peters, Cosmic ray produced radioactivity on the Earth, in: K. Sitte (Ed.), Handbuch Der Physik XLVI/2, Springer-Verlag, Berlin, 1967, pp. 551-612 and D. Lai, Theoretically expected variations in the terrestrial cosmic ray production rates of isotopes, in: G.C. Castagnoli (Ed.), Proceedings of the Enrico Fermi International School of Physics 95, Italian Physical Society, Varenna, 1988, pp. 216-233), these variations can lead to potentially significant scaling model uncertainties that have not been addressed in detail. These uncertainties include the long-term (millennial-scale) average solar modulation level to which secondary cosmic rays should be referenced, and short-term fluctuations in cosmic ray intensity measurements used to derive published secondary cosmic ray scaling models. We have developed new scaling models for spallogenic nucleons, slow-muon capture and fast-muon interactions that specifically address these uncertainties. Our spallogenic nucleon scaling model, which includes data from portions of 5 solar cycles, explicitly incorporates a measure of solar modulation (S), and our fast- and slow-muon scaling models (based on more limited data) account for solar modulation effects through increased uncertainties. These models improve on previously published models by better sampling the observed variability in measured cosmic ray intensities as a function of geomagnetic latitude, altitude, and solar activity. Furthermore, placing the spallogenic nucleon data in a consistent time-space framework allows for a more realistic assessment of uncertainties in our model than in earlier ones. We demonstrate here that our models reasonably account for the effects of solar modulation on measured secondary cosmic ray intensities, within the uncertainties of our combined source datasets. We also estimate solar modulation variations over the last 11.4 ka from a recent physics-based sunspot number reconstruction derived from tree-ring C-14 data. This approximation suggests that spallogenic nucleon scaling factors in our model for sea level and high geomagnetic latitudes can differ by up to similar to 10%, depending on the time step over which the model sunspot numbers are averaged. The potential magnitude of this difference supports our contention that incorporating long-term solar modulation into secondary cosmic ray scaling is important. Although millennial-scale solar modulation clearly requires further study, we believe it is reasonable at present to use our S value record for scaling spallogenic nucleons during the last 11.4 ka, and the weighted mean S value for that period of 0.950 for longer exposure times. By accounting for solar modulation effects on the global variations in nucleon and muon fluxes, these models thus provide a useful framework on which to base CN production rate scaling functions. (c) 2005 Elsevier B.V All rights reserved.</t>
  </si>
  <si>
    <t>Univ Arizona, Dept Geosci, Tucson, AZ 85721 USA; Univ Delaware, Bartol Res Inst, Newark, DE 19716 USA; Australian Antarctic Div, Kingston, Tas 7050, Australia; Univ Tasmania, Sch Phys &amp; Mat, Hobart, Tas 7001, Australia</t>
  </si>
  <si>
    <t>University of Arizona; University of Delaware; Australian Antarctic Division; University of Tasmania</t>
  </si>
  <si>
    <t>Lifton, NA (corresponding author), Univ Arizona, Dept Geosci, Tucson, AZ 85721 USA.</t>
  </si>
  <si>
    <t>lifton@geo.arizona.edu</t>
  </si>
  <si>
    <t>Lifton, Nathaniel/M-2017-2015</t>
  </si>
  <si>
    <t>Lifton, Nathaniel/0000-0002-6976-3298; Humble, John/0000-0002-4698-1671; Duldig, Marcus/0000-0001-7463-8267</t>
  </si>
  <si>
    <t>OCT 30</t>
  </si>
  <si>
    <t>10.1016/j.epsl.2005.07.001</t>
  </si>
  <si>
    <t>984SJ</t>
  </si>
  <si>
    <t>WOS:000233324300011</t>
  </si>
  <si>
    <t>Kaiser, J; Lamy, F; Hebbeln, D</t>
  </si>
  <si>
    <t>A 70-kyr sea surface temperature record off southern Chile (Ocean Drilling Program Site 1233)</t>
  </si>
  <si>
    <t>LAST GLACIAL MAXIMUM; ATLANTIC THERMOHALINE CIRCULATION; DOME-C; HEMISPHERE WESTERLIES; LATE PLEISTOCENE; CLIMATE-CHANGE; EXTRATROPICAL CIRCULATION; HOLOCENE TRANSITION; EQUATORIAL PACIFIC; LATITUDE CLIMATE</t>
  </si>
  <si>
    <t>We present the first high-resolution alkenone-derived sea surface temperature (SST) reconstruction in the southeast Pacific (Ocean Drilling Program Site 1233) covering the major part of the last glacial period and the Holocene. The record shows a clear millennial-scale pattern that is very similar to climate fluctuations observed in Antarctic ice cores, suggesting that the Southern Hemisphere high-latitude climate changes extended into the midlatitudes, involving simultaneous changes in air temperatures over Antarctica, sea ice extent, extension of the Antarctic Circumpolar Current, and westerly atmospheric circulation. A comparison to other midlatitude surface ocean records suggests that this Antarctic'' millennial-scale pattern was probably a hemisphere-wide phenomenon. In addition, we performed SST gradient reconstructions over the complete latitudinal range of the Pacific Eastern Boundary Current System for different time intervals during the last 70 kyr. The main results suggest an equatorward displaced subtropical gyre circulation during marine isotope stages 2 and 4.</t>
  </si>
  <si>
    <t>Univ Bremen, Deutsch Forsch Gemeinschaft Res Ctr Ocean Margins, D-28359 Bremen, Germany; Geoforschungszentrum Potsdam, D-14473 Potsdam, Germany</t>
  </si>
  <si>
    <t>University of Bremen; Helmholtz Association; Helmholtz-Center Potsdam GFZ German Research Center for Geosciences</t>
  </si>
  <si>
    <t>Univ Bremen, Deutsch Forsch Gemeinschaft Res Ctr Ocean Margins, Leobener Str, D-28359 Bremen, Germany.</t>
  </si>
  <si>
    <t>kaiserj@uni-bremen.de</t>
  </si>
  <si>
    <t>Hebbeln, Dierk/P-9766-2016; Lamy, Frank/H-3611-2014</t>
  </si>
  <si>
    <t>Hebbeln, Dierk/0000-0001-5099-6115; Lamy, Frank/0000-0001-5952-1765</t>
  </si>
  <si>
    <t>OCT 29</t>
  </si>
  <si>
    <t>PA4009</t>
  </si>
  <si>
    <t>10.1029/2005PA001146</t>
  </si>
  <si>
    <t>981TP</t>
  </si>
  <si>
    <t>WOS:000233111200001</t>
  </si>
  <si>
    <t>Hoppel, K; Nedoluha, G; Fromm, M; Allen, D; Bevilacqua, R; Alfred, J; Johnson, B; König-Langlo, G</t>
  </si>
  <si>
    <t>Reduced ozone loss at the upper edge of the Antarctic Ozone Hole during 2001-2004 -: art. no. L20816</t>
  </si>
  <si>
    <t>POLAR VORTEX; CLIMATOLOGY; VALIDATION; ALGORITHM; RECOVERY; AEROSOL; WINTER</t>
  </si>
  <si>
    <t>The top edge (20-22 km) of the Antarctic ozone hole has been identified as a good place to detect ozone recovery (D. J. Hofmann et al., 1997). During the first six POAM observation years (1994-1996, 1998-2000), the early October ozone mixing ratio at the top edge of the ozone hole was nearly constant, while during the last four years (2001-2004) it was noticeably greater. The estimated ozone photochemical loss for air sampled at 20-22 km in 2001-2004 was likewise smaller. During 2001-2004, there were fewer PSCs and generally higher temperatures during August and September at 20-22 km than prior years. The increased ozone was due to both reduced photochemical ozone loss (2001, 2003, and 2004) and enhanced adiabatic descent of the ozone profile (2002). Because of the changing meteorological conditions, the ozone changes at the top edge of the hole cannot be easily attributed to changes in chlorine abundance.</t>
  </si>
  <si>
    <t>USN, Res Lab, Remote Sensing Phys Branch, Washington, DC 20375 USA; Computat Phys Inc, Springfield, VA 22151 USA; NOAA, Climate Monitoring &amp; Diagnost Lab, Boulder, CO 80303 USA; Alfred Wegener Inst Polar &amp; Marine Res, D-27515 Bremerhaven, Germany</t>
  </si>
  <si>
    <t>United States Department of Defense; United States Navy; Naval Research Laboratory; Computational Physics Inc; National Oceanic Atmospheric Admin (NOAA) - USA; Helmholtz Association; Alfred Wegener Institute, Helmholtz Centre for Polar &amp; Marine Research</t>
  </si>
  <si>
    <t>USN, Res Lab, Remote Sensing Phys Branch, Code 7227,4555 Overlook Ave SW, Washington, DC 20375 USA.</t>
  </si>
  <si>
    <t>karl.hoppel@nrl.navy.mil</t>
  </si>
  <si>
    <t>Allen, Douglas Ray/GWZ-8901-2022; Konig-Langlo, Gert/K-5048-2012</t>
  </si>
  <si>
    <t>Konig-Langlo, Gert/0000-0002-6100-4107; Allen, Douglas/0000-0003-2747-9712</t>
  </si>
  <si>
    <t>OCT 28</t>
  </si>
  <si>
    <t>L20816</t>
  </si>
  <si>
    <t>10.1029/2005GL023968</t>
  </si>
  <si>
    <t>981RG</t>
  </si>
  <si>
    <t>WOS:000233105100003</t>
  </si>
  <si>
    <t>Obana, Y; Yoshikawa, A; Olson, JV; Morris, RJ; Fraser, BJ; Yumoto, K</t>
  </si>
  <si>
    <t>North-south asymmetry of the amplitude of high-latitude Pc 3-5 pulsations: Observations at conjugate stations</t>
  </si>
  <si>
    <t>FINITE IONOSPHERE CONDUCTIVITIES; PERIOD MAGNETIC PULSATIONS; FIELD LINE OSCILLATIONS; DIVERGENT HALL-CURRENT; STANDING ALFVEN WAVES; PC 3,4 PULSATIONS; GEOMAGNETIC-PULSATIONS; ULF WAVES; HYDROMAGNETIC-WAVES; MAGNETOMETER-ARRAY</t>
  </si>
  <si>
    <t>The north-south asymmetry of the amplitude of ULF pulsations in the Pc 3-5 band is studied using magnetic field data from the magnetically conjugate stations at L similar to 5.4: Kotzebue (KOT) in the northern hemisphere and Macquarie Island (MCQ) in the southern hemisphere. We obtained the following results for the northward (H) component of magnetic pulsations: (1) The north to south power ratio shows a maximum in the northern winter and a minimum in the northern summer. This seasonal variation'' is stronger at higher frequencies (Pc 3 and Pc 4 frequencies). (2) The north to south power ratio for the Pc 4 and Pc 5 frequency band is basically greater than 1.0 for all seasons. This positive offset'' is stronger at lower frequencies. The seasonal variation'' implies that the magnetohydrodynamic (MHD) waves incident from the magnetosphere are more strongly shielded when the ionospheric conductivity is higher. The positive offset'' may result from the difference of the background magnetic field intensity between KOT and MCQ.</t>
  </si>
  <si>
    <t>Kyushu Univ, Fac Sci, Dept Earth &amp; Planetary Sci, Higashi Ku, Fukuoka 8128581, Japan; Univ Alaska, Inst Geophys, Fairbanks, AK 99775 USA; Australian Antarctic Div, Dept Environm &amp; Heritage, Kingston, Tas 7050, Australia; Univ Newcastle, Dept Phys, Newcastle, NSW 2308, Australia; Kyushu Univ, Space Environm Res Ctr, Higashi Ku, Fukuoka 8128581, Japan</t>
  </si>
  <si>
    <t>Kyushu University; University of Alaska System; University of Alaska Fairbanks; Australian Antarctic Division; University of Newcastle; Kyushu University</t>
  </si>
  <si>
    <t>Obana, Y (corresponding author), Kyushu Univ, Venture Business Lab, Fukuoka 812, Japan.</t>
  </si>
  <si>
    <t>obana@serc.kyushu-u.ac.jp; yoshi@geo.kyushu-u.ac.jp; jvo@gi.alaska.edu; ray.morris@aad.gov.au; brian.fraser@newcastle.edu.au; yumoto@serc.kyushu-u.ac.jp</t>
  </si>
  <si>
    <t>Yoshikawa, Akimasa/A-6142-2012</t>
  </si>
  <si>
    <t>Obana, Yuki/0000-0002-7291-3648</t>
  </si>
  <si>
    <t>A10</t>
  </si>
  <si>
    <t>A10214</t>
  </si>
  <si>
    <t>10.1029/2003JA010242</t>
  </si>
  <si>
    <t>981TF</t>
  </si>
  <si>
    <t>WOS:000233110200001</t>
  </si>
  <si>
    <t>Inman, M</t>
  </si>
  <si>
    <t>Antarctic drilling - The plan to unlock Lake Vostok</t>
  </si>
  <si>
    <t>Inman, Mason/S-7629-2019</t>
  </si>
  <si>
    <t>10.1126/science.310.5748.611</t>
  </si>
  <si>
    <t>980ET</t>
  </si>
  <si>
    <t>WOS:000232997700011</t>
  </si>
  <si>
    <t>Leal, JH; Harasewych, MG</t>
  </si>
  <si>
    <t>Tractolira delli, a new Volutidae (Mollusca: Gastropoda: Neogastropoda) from the abyssal plains off Antarctica</t>
  </si>
  <si>
    <t>Antarctica; Antarctic; sub-Antarctic; Odontocymbiolinae</t>
  </si>
  <si>
    <t>A new deep-sea species of Volutidae in the genus Tractolira is named from material collected by the United States Antarctic Program in and around the Ross Sea, eastern Antarctica, and from one locality in the Subantarctic region. Tractolira delli new species is most similar to T. sparta Dall, 1896, from which it differs in having a relatively wider shell, less prominent spiral sculpture, with narrower threads, and by the absence of strong axial ribs at least on the first three teleoconch whorls. The other Antarctic congener, Tractolira germonae, has a thicker, dark-brown periostracum ( instead of a thin, light-yellow one), a proportionally smaller inductura, and lacks surface sculpture.</t>
  </si>
  <si>
    <t>Bailey Matthews Shell Museum, Sanibel, FL 33957 USA; Smithsonian Inst, Dept Invertebrate Zool, Natl Museum Nat Hist, Washington, DC 20013 USA</t>
  </si>
  <si>
    <t>Smithsonian Institution; Smithsonian National Museum of Natural History</t>
  </si>
  <si>
    <t>Leal, JH (corresponding author), Bailey Matthews Shell Museum, POB 1580, Sanibel, FL 33957 USA.</t>
  </si>
  <si>
    <t>jleal@shellmuseum.org; Harasewych@si.edu</t>
  </si>
  <si>
    <t>979SD</t>
  </si>
  <si>
    <t>WOS:000232964200003</t>
  </si>
  <si>
    <t>Amekudzi, LK; Sinnhuber, BM; Sheode, NV; Meyer, J; Rozanov, A; Lamsal, LN; Bovensmann, H; Burrows, JP</t>
  </si>
  <si>
    <t>Retrieval of stratospheric NO3 vertical profiles from SCIAMACHY lunar occultation measurement over the Antarctic -: art. no. D20304</t>
  </si>
  <si>
    <t>ATMOSPHERIC NO3; SOLAR OCCULTATION; TEMPERATURE; O-3; SPECTROSCOPY; MODEL; NO-3</t>
  </si>
  <si>
    <t>NO3 vertical profiles have been retrieved over the Antarctic (60 degrees-90 degrees S) from the Scanning Imaging Absorption Spectrometer for Atmospheric Cartography (SCIAMACHY) lunar occultation spectra, using the visible spectral band (610-680 nm) containing NO3 absorption bands at 623 and 662 nm. The retrieved NO3 profiles agree well with calculations from a photochemical model constrained by retrieved O-3 and analyzed temperatures in the altitude range between 24 and 45 km. Below about 35-40 km, observed NO3 is well reproduced by photochemical steady state calculations. Differences between observed and modeled NO3 are within the estimated accuracy of 20-35%, demonstrating the consistency of the NO3 retrieval and model.</t>
  </si>
  <si>
    <t>Univ Bremen, Inst Environm Phys &amp; Remote Sensing, D-28359 Bremen, Germany</t>
  </si>
  <si>
    <t>University of Bremen</t>
  </si>
  <si>
    <t>Univ Bremen, Inst Environm Phys &amp; Remote Sensing, Otto Hahn Allee 1, D-28359 Bremen, Germany.</t>
  </si>
  <si>
    <t>leonard@iup.physik.uni-bremen.de</t>
  </si>
  <si>
    <t>Lamsal, Lok/G-4781-2012; Burrows, John Philip/AAF-8468-2019; Bovensmann, Heinrich/P-4135-2016; Sinnhuber, Bjorn-Martin/A-7007-2013</t>
  </si>
  <si>
    <t>Burrows, John Philip/0000-0002-6821-5580; Bovensmann, Heinrich/0000-0001-8882-4108; Sinnhuber, Bjorn-Martin/0000-0001-9608-7320; Rozanov, Alexei/0000-0003-4525-3223; Amekudzi, Leonard Kofitse/0000-0002-2186-3425</t>
  </si>
  <si>
    <t>OCT 26</t>
  </si>
  <si>
    <t>D20</t>
  </si>
  <si>
    <t>D20304</t>
  </si>
  <si>
    <t>10.1029/2004JD005748</t>
  </si>
  <si>
    <t>981RT</t>
  </si>
  <si>
    <t>WOS:000233106400003</t>
  </si>
  <si>
    <t>Martin, CF; Thomas, RH; Krabill, WB; Manizade, SS</t>
  </si>
  <si>
    <t>ICESat range and mounting bias estimation over precisely-surveyed terrain</t>
  </si>
  <si>
    <t>Prior to the launch of the Geoscience Laser Altimeter System (GLAS) on the Ice, Cloud and land Elevation Satellite (ICESat) in January 2003, topographic surveys were made by NASA's Airborne Topographic Mapper (ATM) over regions of the western United States and the Antarctic Dry Valleys to support calibration and validation of the range and pointing errors of GLAS lasers. Surveyed areas included terrain with large slopes, allowing pointing-bias estimation with as little as a few seconds of ICESat data. Range errors over sloping irregular surfaces are calculated by computing the expected GLAS return waveform and comparing it with the actual waveform. We conclude that the range bias is less than 2 cm and that pointing errors for the best available data set (Laser 2a) have rss errors less than 2 arcsec.</t>
  </si>
  <si>
    <t>Ctr Estudios Cient, Valdivia, Chile; NASA, EG&amp;G Tech Serv, Wallops Flight Facil, Wallops Isl, VA USA; NASA, Hydrospher &amp; Biospher Sci Lab, Cryospher Sci Branch, Goddard Space Flight Ctr, Wallops Isl, VA 23337 USA</t>
  </si>
  <si>
    <t>National Aeronautics &amp; Space Administration (NASA); NASA Goddard Space Flight Center; Wallops Flight Facility; National Aeronautics &amp; Space Administration (NASA); NASA Goddard Space Flight Center</t>
  </si>
  <si>
    <t>Ctr Estudios Cient, Ave Arturo Prat 514,Casilla 1469, Valdivia, Chile.</t>
  </si>
  <si>
    <t>chreston_2@comcast.net</t>
  </si>
  <si>
    <t>OCT 25</t>
  </si>
  <si>
    <t>L21S07</t>
  </si>
  <si>
    <t>10.1029/2005GL023800</t>
  </si>
  <si>
    <t>981RI</t>
  </si>
  <si>
    <t>WOS:000233105300001</t>
  </si>
  <si>
    <t>Stiller, GP; Tsidu, GM; von Clarmann, T; Glatthor, N; Höpfner, M; Kellmann, S; Linden, A; Ruhnke, R; Fischer, H; López-Puertas, M; Funke, B; Gil-López, S</t>
  </si>
  <si>
    <t>An enhanced HNO3 second maximum in the Antarctic midwinter upper stratosphere 2003 -: art. no. D20303</t>
  </si>
  <si>
    <t>WAVE SPECTROSCOPIC MEASUREMENTS; NITRIC-ACID; SOUTH-POLE; WINTER; VORTEX; N2O5</t>
  </si>
  <si>
    <t>Vertical profiles of stratospheric HNO3 were retrieved from limb emission spectra recorded by the Michelson Interferometer for Passive Atmospheric Sounding (MIPAS) aboard the Envisat research satellite during the Antarctic winter 2003. A high second maximum of HNO3 was found around 34 km altitude with abundances up to 14 ppbv HNO3 during July. Similar high abundances have not been reported in the literature for previous winters, but for the subsequent Arctic winter 2003/2004, after severe perturbations due to solar proton events. The second HNO3 maximum in the Antarctic stratosphere started to develop in early June 2003, reached peak values during July 2003, and decreased to about 7 ppbv at the end of August while being continuously transported downward before finally forming a single HNO3 layer over all latitudes in the lower stratosphere together with the out-of-vortex primary HNO3 maximum. The HNO3 decrease in August 2003 was correlated with photochemical buildup of other NOy species as ClONO2 and NOx. From the time scales observed, it can be ruled out that the 2003 long-term HNO3 enhancements were caused by local gas phase reactions immediately after the solar proton event on 29 May 2003. Instead, HNO3 was produced by ion cluster chemistry reactions and/or heterogeneous reactions on sulfate aerosols via N2O5 from high amounts of NOx being continuously transported downward from the lower thermosphere during May to August.</t>
  </si>
  <si>
    <t>Forschungszentrum Karlsruhe, D-76021 Karlsruhe, Germany; Univ Karlsruhe, Inst Meteorol &amp; Klimaforsch, D-76021 Karlsruhe, Germany; CSIC, Inst Astrofis Andalucia, E-18080 Granada, Spain</t>
  </si>
  <si>
    <t>Helmholtz Association; Karlsruhe Institute of Technology; Helmholtz Association; Karlsruhe Institute of Technology; Consejo Superior de Investigaciones Cientificas (CSIC); CSIC - Instituto de Astrofisica de Andalucia (IAA)</t>
  </si>
  <si>
    <t>Forschungszentrum Karlsruhe, Postfach 3640, D-76021 Karlsruhe, Germany.</t>
  </si>
  <si>
    <t>gabriele.stiller@imk.fzk.de; thomas.clarmann@imk.fzk.de; bernd@iaa.es</t>
  </si>
  <si>
    <t>Tsidu, Gizaw Mengistu/AAG-6048-2019; von Clarmann, Thomas/A-7287-2013; Stiller, Gabriele P./A-7340-2013; Glatthor, Norbert/B-2141-2013; Ruhnke, Roland/J-8800-2012; Lopez-Puertas, Manuel/M-8219-2013; Hopfner, Michael/A-7255-2013; Funke, Bernd/C-2162-2008</t>
  </si>
  <si>
    <t>Stiller, Gabriele P./0000-0003-2883-6873; Ruhnke, Roland/0000-0002-0353-1603; Gil-Lopez, Sergio/0000-0002-3867-5439; von Clarmann, Thomas/0000-0003-2219-3379; Gil-Lopez, Sergio/0000-0001-5584-345X; Lopez-Puertas, Manuel/0000-0003-2941-7734; Hopfner, Michael/0000-0002-4174-9531; Funke, Bernd/0000-0003-0462-4702</t>
  </si>
  <si>
    <t>D20303</t>
  </si>
  <si>
    <t>10.1029/2005JD006011</t>
  </si>
  <si>
    <t>981RS</t>
  </si>
  <si>
    <t>WOS:000233106300003</t>
  </si>
  <si>
    <t>Skálová, T; Dohnálek, J; Spiwok, V; Lipovová, P; Vondráckova, E; Petroková, H; Dusková, J; Strnad, H; Králová, B; Hasek, J</t>
  </si>
  <si>
    <t>Cold-active β-galactosidase from Arthrobacter sp C2-2 forms compact 660 kDa hexamers:: Crystal structure at 1.9 Å resolution</t>
  </si>
  <si>
    <t>JOURNAL OF MOLECULAR BIOLOGY</t>
  </si>
  <si>
    <t>glycosyl hydrolase; beta-galactosidase; cold-active; psychrotrophic; crystal structure</t>
  </si>
  <si>
    <t>ESCHERICHIA-COLI; MOLECULAR REPLACEMENT; ANTARCTIC BACTERIUM; ENZYMES; COMPLEMENTATION; ADAPTATIONS; BINDING; ALIGNMENTS; REFINEMENT; CATALYSIS</t>
  </si>
  <si>
    <t>The X-ray structure of cold-active P-galactosidase (isoenzyme C-2-2-1) from an Antarctic bacterium Arthrobacter sp. C2-2 was solved at 1.9 angstrom resolution. The enzyme forms 660 kDa hexamers with active sites opened to the central cavity of the hexamer and connected by eight channels with exterior solvent. To our best knowledge, this is the first cold-active beta-galactosidase with known structure and also the first known P-galactosidase structure in the form of compact hexamers. The hexamer organization regulates access of substrates and ligands to six active sites and this unique packing, present also in solution, raises questions about its purpose and function. This enzyme belongs to glycosyl hydrolase family 2, similarly to Escherichia coli P-galactosidase, forming tetramers necessary for its enzymatic function. However, we discovered significant differences between these two enzymes affecting the ability of tetramer/hexamer formation and complementation of the active site. This structure reveals new insights into the cold-adaptation mechanisms of enzymatic pathways of extremophiles. (c) 2005 Elsevier Ltd. All rights reserved.</t>
  </si>
  <si>
    <t>Acad Sci Czech Republ, Inst Macromol Chem, Prague 16206 6, Czech Republic; Inst Chem Technol, Prague 16628 6, Czech Republic; Acad Sci Czech Republ, Inst Mol Genet, CR-16637 Prague, Czech Republic</t>
  </si>
  <si>
    <t>Czech Academy of Sciences; Institute of Macromolecular Chemistry of the Czech Academy of Sciences; University of Chemistry &amp; Technology, Prague; Czech Academy of Sciences; Institute of Molecular Genetics of the Czech Academy of Sciences</t>
  </si>
  <si>
    <t>Acad Sci Czech Republ, Inst Macromol Chem, Heyrovskeho Nam 2, Prague 16206 6, Czech Republic.</t>
  </si>
  <si>
    <t>skalova@imc.cas.cz</t>
  </si>
  <si>
    <t>Spiwok, Vojtech/A-7747-2008; Duskova, Jarmila/G-5922-2014; Hasek, Jindrich/G-3267-2014; Petrokova, Hana/H-2563-2014; Strnad, Hynek/B-7361-2008; Lipovova, Petra/Q-7187-2017; Dohnalek, Jan/G-3573-2014; Petroková, Hana/AAN-2763-2021; Skalova, Tereza/G-6422-2014</t>
  </si>
  <si>
    <t>Hasek, Jindrich/0000-0001-7973-1815; Petroková, Hana/0000-0002-8243-320X; Lipovova, Petra/0000-0003-2275-3479; Spiwok, Vojtech/0000-0001-8108-2033; Skalova, Tereza/0000-0003-3186-2431</t>
  </si>
  <si>
    <t>0022-2836</t>
  </si>
  <si>
    <t>1089-8638</t>
  </si>
  <si>
    <t>J MOL BIOL</t>
  </si>
  <si>
    <t>J. Mol. Biol.</t>
  </si>
  <si>
    <t>OCT 21</t>
  </si>
  <si>
    <t>10.1016/j.jmb.2005.08.028</t>
  </si>
  <si>
    <t>973EL</t>
  </si>
  <si>
    <t>WOS:000232505600007</t>
  </si>
  <si>
    <t>Alley, RB; Clark, PU; Huybrechts, P; Joughin, I</t>
  </si>
  <si>
    <t>Ice-sheet and sea-level changes</t>
  </si>
  <si>
    <t>LAST GLACIAL MAXIMUM; PINE ISLAND GLACIER; JAKOBSHAVN ISBR-AE; ANTARCTIC ICE; WEST ANTARCTICA; ATMOSPHERIC CO2; MASS-BALANCE; CLIMATE-CHANGE; SURFACE MELT; BREAK-UP</t>
  </si>
  <si>
    <t>Future sea-level rise is an important issue related to the continuing buildup of atmospheric greenhouse gas concentrations. The Greenland and Antarctic ice sheets, with the potential to raise sea level similar to 70 meters if completely melted, dominate uncertainties in projected sea-level change. Freshwater fluxes from these ice sheets also may affect oceanic circulation, contributing to climate change. Observational and modeling advances have reduced many uncertainties related to ice-sheet behavior, but recently detected, rapid ice-marginal changes contributing to sea-level rise may indicate greater ice-sheet sensitivity to warming than previously considered.</t>
  </si>
  <si>
    <t>Penn State Univ, Dept Geosci, University Pk, PA 16802 USA; Penn State Univ, Earth &amp; Environm Syst Inst, University Pk, PA 16802 USA; Oregon State Univ, Dept Geosci, Corvallis, OR 97331 USA; Alfred Wegener Inst Polar &amp; Marine Res, D-27515 Bremerhaven, Germany; Vrije Univ Brussels, Dept Geog, B-1050 Brussels, Belgium; Univ Washington, Appl Phys Lab, Polar Sci Ctr, Seattle, WA 98105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</si>
  <si>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Oregon State University; Helmholtz Association; Alfred Wegener Institute, Helmholtz Centre for Polar &amp; Marine Research; Vrije Universiteit Brussel; University of Washington; University of Washington Seattle</t>
  </si>
  <si>
    <t>Penn State Univ, Dept Geosci, Deike Bldg, University Pk, PA 16802 USA.</t>
  </si>
  <si>
    <t>rba6@psu.edu</t>
  </si>
  <si>
    <t>Joughin, Ian R/A-2998-2008; Joughin, Ian/AAR-7778-2021; Huybrechts, Philippe/J-5278-2013</t>
  </si>
  <si>
    <t>Joughin, Ian R/0000-0001-6229-679X; Joughin, Ian/0000-0001-6229-679X; Huybrechts, Philippe/0000-0003-1406-0525</t>
  </si>
  <si>
    <t>Directorate For Geosciences [0814241] Funding Source: National Science Foundation; Office of Polar Programs (OPP) [0814241] Funding Source: National Science Foundation</t>
  </si>
  <si>
    <t>Directorate For Geosciences(National Science Foundation (NSF)NSF - Directorate for Geosciences (GEO)); Office of Polar Programs (OPP)(National Science Foundation (NSF)NSF - Directorate for Geosciences (GEO))</t>
  </si>
  <si>
    <t>10.1126/science.1114613</t>
  </si>
  <si>
    <t>977EU</t>
  </si>
  <si>
    <t>WOS:000232786000035</t>
  </si>
  <si>
    <t>Young, SS; Harris, R</t>
  </si>
  <si>
    <t>Changing patterns of global-scale vegetation photosynthesis, 1982-1999</t>
  </si>
  <si>
    <t>LAND-COVER CLASSIFICATION; RESOLUTION RADIOMETER AVHRR; SATELLITE DATA; CLIMATE-CHANGE; NORTH-AMERICA; INDEX DATA; VARIABILITY; AFRICA; NDVI; ENSO</t>
  </si>
  <si>
    <t>The primary objective of this research was to assess changes in global vegetation photosynthesis between 1982 and 1999. Global-scale Advanced Very High Resolution Radiometer (AVHRR) Normalized Difference Vegetation Index (NDVI) data from the Pathfinder AVHRR Land (PAL) and Global Inventory Modeling and Mapping Studies (GIMMS) datasets were analysed for 96% of the non-Antarctic land area of the Earth. The results showed that between 1982 and 1999 over 30% of the Earth's land surface increased and less than 5% decreased in annual average photosynthesis greater than 4%. Although both the PAL and GIMMS datasets produced broadly similar patterns of change, there were distinct differences between the two datasets. Changes in vegetation photosynthesis were occurring in spatial clusters across the globe and were being driven by climate change, El Nino-Southern Oscillation (ENSO) events and human activity.</t>
  </si>
  <si>
    <t>Salem State Coll, Dept Geog, Salem, MA 01970 USA; UCL, Dept Geog, London WC1H 0AP, England</t>
  </si>
  <si>
    <t>Massachusetts System of Public Higher Education; Salem State University; University of London; University College London</t>
  </si>
  <si>
    <t>Salem State Coll, Dept Geog, 352 Lafeyette St, Salem, MA 01970 USA.</t>
  </si>
  <si>
    <t>syoung@salemstate.edu</t>
  </si>
  <si>
    <t>Harris, Ray/C-1595-2008</t>
  </si>
  <si>
    <t>OCT 20</t>
  </si>
  <si>
    <t>10.1080/01431160500239198</t>
  </si>
  <si>
    <t>992UM</t>
  </si>
  <si>
    <t>WOS:000233909500010</t>
  </si>
  <si>
    <t>Wang, DY; von Clarmann, T; Fischer, H; Funke, B; García-Comas, M; Gil-López, S; Glatthor, N; Grabowski, U; Höpfner, M; Kellmann, S; Kiefer, M; Koukouli, ME; Lin, G; Linden, A; López-Puertas, M; Tsidu, GM; Milz, M; Steck, T; Stiller, GP</t>
  </si>
  <si>
    <t>Longitudinal variations of temperature and ozone profiles observed by MIPAS during the Antarctic stratosphere sudden warming of 2002 -: art. no. D20101</t>
  </si>
  <si>
    <t>SOUTHERN-HEMISPHERE; POLAR VORTEX; GOME OBSERVATIONS; PLANETARY-WAVES; 4-DAY WAVE; WINTER; DISTRIBUTIONS; SPLIT; EVENT; HOLE</t>
  </si>
  <si>
    <t>[1] The temperature and ozone volume mixing ratio (VMR) profiles measured by the Michelson Interferometer for Passive Atmospheric Sounding (MIPAS) on ENVISAT are used to study the unusual Antarctic major stratospheric warming of 2002. The observed zonal mean temperatures show rapid poleward increase and remarkable reversal of the latitudinal gradients at 35 km or below in several days. The highest temperature increase is of 50 K or more. The zonal mean ozone VMRs also increase poleward and have maximum values of 7 ppmv in a wide region between 20 and 40 km at latitudes south of 40 degrees S. Temperature amplitudes of zonal wave number 1 to 3 exhibit a double-peaked structure with peaks near 25 km and 35 km. The ozone waves in the lower stratosphere are generally in phase with the corresponding temperature waves. At the onset of the warming, the wave 1 amplitudes drastically increase at 60 degrees S-80 degrees S, reaching maxima of similar to 20 K for the temperature and similar to 2 ppmv for the ozone VMR. Significant wave 3 amplitudes are also observed with maximum of 14 - 18 K and 1 - 1.5 ppmv for temperature and ozone VMR, respectively. The wave 3 amplitudes are larger than those of wave 2 by nearly a factor of 2 immediately before and after the polar vortex split. The large-amplitude wave 1 and 3 disturbances break down in 1 or 2 days, and the wave 2 variations are enhanced and attain amplitudes comparable to those of wave 1 and 3, resulting in an apparent wave 2 warming event. These results are consistent with other observations and suggest the importance of wave 3 forcing in the major warming.</t>
  </si>
  <si>
    <t>Forschungszentrum Karlsruhe, D-76021 Karlsruhe, Germany; Univ Karlsruhe, Inst Meteorol &amp; Klimaforsch, D-76021 Karlsruhe, Germany; CSIC, Inst Astrofis Andalucia, E-18080 Granada, Spain; Aristotle Univ Thessaloniki, Dept Phys, Lab Atmospher Phys, GR-54006 Thessaloniki, Greece; New England Elect &amp; Technol Corp, Chelmsford, MA 01824 USA</t>
  </si>
  <si>
    <t>Helmholtz Association; Karlsruhe Institute of Technology; Helmholtz Association; Karlsruhe Institute of Technology; Consejo Superior de Investigaciones Cientificas (CSIC); CSIC - Instituto de Astrofisica de Andalucia (IAA); Aristotle University of Thessaloniki</t>
  </si>
  <si>
    <t>Sci Applicat Int Corp, Gen Sci Operat, MODIS Characterizat Support Team, 7501 Forbes Blvd,Suite 150, Seabrook, MD 20706 USA.</t>
  </si>
  <si>
    <t>dwang@saicmodis.com</t>
  </si>
  <si>
    <t>Koukouli, Maria Elissavet/O-9711-2019; Kiefer, Michael/A-7254-2013; Glatthor, Norbert/B-2141-2013; von Clarmann, Thomas/A-7287-2013; Milz, Mathias/C-9899-2011; Stiller, Gabriele P./A-7340-2013; Garcia-Comas, Maya/E-4050-2014; Tsidu, Gizaw Mengistu/AAG-6048-2019; Lopez-Puertas, Manuel/M-8219-2013; Hopfner, Michael/A-7255-2013; Funke, Bernd/C-2162-2008</t>
  </si>
  <si>
    <t>Koukouli, Maria Elissavet/0000-0002-7509-4027; Stiller, Gabriele P./0000-0003-2883-6873; Garcia-Comas, Maya/0000-0003-2323-4486; Lopez-Puertas, Manuel/0000-0003-2941-7734; Milz, Mathias/0000-0002-4478-2185; Hopfner, Michael/0000-0002-4174-9531; Mengistu Tsidu, Gizaw/0000-0003-3076-4696; von Clarmann, Thomas/0000-0003-2219-3379; Gil-Lopez, Sergio/0000-0001-5584-345X; Gil-Lopez, Sergio/0000-0002-3867-5439; Funke, Bernd/0000-0003-0462-4702</t>
  </si>
  <si>
    <t>D20101</t>
  </si>
  <si>
    <t>10.1029/2004JD005749</t>
  </si>
  <si>
    <t>977UM</t>
  </si>
  <si>
    <t>WOS:000232828700002</t>
  </si>
  <si>
    <t>Unrein, F; Izaguirre, I; Massana, R; Balagué, V; Gasol, JM</t>
  </si>
  <si>
    <t>Nanoplankton assemblages in maritime Antarctic lakes:: characterisation and molecular fingerprinting comparison</t>
  </si>
  <si>
    <t>freshwater nanoplankton; Antarctic lakes; DGGE; 18S rDNA</t>
  </si>
  <si>
    <t>GEL-ELECTROPHORESIS DGGE; BACTERIOPLANKTON COMMUNITY COMPOSITION; TEMPORAL PLANKTON DYNAMICS; KING-GEORGE ISLAND; RIBOSOMAL-RNA; MICROBIAL COMMUNITY; GENETIC DIVERSITY; CIERVA POINT; HOPE BAY; PHYTOPLANKTON DYNAMICS</t>
  </si>
  <si>
    <t>The composition of planktonic eukaryotes in the size fraction 3-20 mu m of 10 maritime Antarctic lakes was studied by denaturing gradient gel electrophoresis (DGGE). Microscopic observations were also carried out to compare the results obtained by this molecular fingerprinting technique with morphological data. Six lakes from Hope Bay (Antarctic Peninsula) and 4 from the Potter Peninsula (King George Island) were sampled during the austral summer of 2003. These lakes were of different trophic status and covered a wide range of limnological features. Previous studies of the planktonic communities of these lakes revealed high nanoflagellate abundance and biomass, but their taxonomic identification was usually uncertain due to their similarity in size and shape. Here, the application of DGGE allowed both a comparison of the structure of the nanoplanktonic communities and an identification of the dominant populations through sequencing of the most prominent DGGE bands. The most important organisms in these lakes were the Chrysophyceae, represented in the DGGE gel by 5 different band positions and identified by microscopy in 5 different morphotypes, including uniflagellated and biflagellated naked organisms: 1 sequence belonged to the Chrysosphaerales, 2 closely related bands (likely 2 species from the same genus) belonged probably to the Ochromonadales (unicellular biflagellates), while the other 2 bands could not be assigned to any defined chrysophyte group. Sequences related to Chlorophyceae, Bacillariophyceae and probably Cercozoa were also retrieved. A Dictyochophyceae belonging to the order Pedinellales is reported for the first time in freshwater Antarctic ecosystems. Microscopic observations suggest that this phytoplanktonic organism most likely corresponds to Pseudopedinella. Most of the lakes shared several common sequences, such as 2 chrysophyte bands, which suggests the existence of well-adapted nanoplanktonic species dispersed throughout the Antarctic lakes. However, some sequences appeared exclusively in specific lakes, which seems to be related to the trophic status of the water bodies and probably also to the local conditions of the maritime Antarctic regions sampled.</t>
  </si>
  <si>
    <t>CSIC, CMIMA, Inst Ciencias Mar, Dept Biol Marina &amp; Oceanog, E-08003 Barcelona, Spain; Univ Buenos Aires, Fac Ciencias Exactas &amp; Nat, Dept Ecol Genet &amp; Evoluc, RA-1428 Buenos Aires, DF, Argentina</t>
  </si>
  <si>
    <t>Consejo Superior de Investigaciones Cientificas (CSIC); CSIC - Centro Mediterraneo de Investigaciones Marinas y Ambientales (CMIMA); CSIC - Instituto de Ciencias del Mar (ICM); University of Buenos Aires</t>
  </si>
  <si>
    <t>CSIC, CMIMA, Inst Ciencias Mar, Dept Biol Marina &amp; Oceanog, Passeig Maritim Barceloneta 37-49, E-08003 Barcelona, Spain.</t>
  </si>
  <si>
    <t>funrein@icm.csic.es</t>
  </si>
  <si>
    <t>Massana, Ramon/F-4205-2016; Gasol, Josep M/B-1709-2008</t>
  </si>
  <si>
    <t>Gasol, Josep M/0000-0001-5238-2387; Unrein, Fernando/0000-0002-8592-1858; Balague, Vanessa/0000-0001-6813-8207; Massana, Ramon/0000-0001-9172-5418</t>
  </si>
  <si>
    <t>OCT 18</t>
  </si>
  <si>
    <t>10.3354/ame040269</t>
  </si>
  <si>
    <t>988JQ</t>
  </si>
  <si>
    <t>WOS:000233591200009</t>
  </si>
  <si>
    <t>Buck, KR; Marin, R; Chavez, FP</t>
  </si>
  <si>
    <t>Heterotrophic dinoflagellate fecal pellet production: grazing of large, chain-forming diatoms during upwelling events in Monterey Bay, California</t>
  </si>
  <si>
    <t>heterotrophic dinoflagellates; microzooplankton grazing</t>
  </si>
  <si>
    <t>ANTARCTIC SEA ICE; FLUX; MICROZOOPLANKTON; SYSTEM; RATES; ULTRASTRUCTURE; PHYTOPLANKTON; GROWTH; BLOOM</t>
  </si>
  <si>
    <t>An athecate phagotrophic dinoflagellate (Gyrodinium sp.) ingests chain-forming diatoms that are abundant during upwelling events in Monterey Bay, CA, USA, and contiguous waters. The chains are digested and egested with a peritrophic membrane covering the fecal pellet, consistent with earlier reports from high productivity environments. The maximum abundance of the dinoflagellate during more than a decade of monitoring was 4000 cells l(-1). Its primary prey comprised chains of centric diatoms such as Chaetoceros spp. or Skeletonema spp., although Pseudo-nitzschia spp. were also observed in the dinoflagellate's fecal pellets. Maximum grazing by this dinoflagellate represented 10% of the total phytoplankton biomass. Our observations suggest a lesser role of large heterotrophic dinoflagellates in the ecology of central California waters compared to other regions.</t>
  </si>
  <si>
    <t>Monterey Bay Aquarium Res Inst, Moss Landing, CA 95039 USA</t>
  </si>
  <si>
    <t>Monterey Bay Aquarium Research Institute</t>
  </si>
  <si>
    <t>Monterey Bay Aquarium Res Inst, 7700 Sandholdt Rd, Moss Landing, CA 95039 USA.</t>
  </si>
  <si>
    <t>buku@mbari.org</t>
  </si>
  <si>
    <t>10.3354/ame040293</t>
  </si>
  <si>
    <t>WOS:000233591200011</t>
  </si>
  <si>
    <t>Lehmann, R; von der Gathen, P; Rex, M; Streibel, M</t>
  </si>
  <si>
    <t>Statistical analysis of the precision of the Match method</t>
  </si>
  <si>
    <t>STRATOSPHERIC OZONE LOSS; ARCTIC WINTER; DEPLETION; VORTEX; ILAS</t>
  </si>
  <si>
    <t>The Match method quantifies chemical ozone loss in the polar stratosphere. The basic idea consists in calculating the forward trajectory of an air parcel that has been probed by an ozone measurement ( e. g., by an ozonesonde or satellite instrument) and finding a second ozone measurement close to this trajectory. Such an event is called a match. A rate of chemical ozone destruction can be obtained by a statistical analysis of several tens of such match events. Information on the uncertainty of the calculated rate can be inferred from the scatter of the ozone mixing ratio difference ( second measurement minus first measurement) associated with individual matches. A standard analysis would assume that the errors of these differences are statistically independent. However, this assumption may be violated because different matches can share a common ozone measurement, so that the errors associated with these match events become statistically dependent. Taking this effect into account, we present an analysis of the uncertainty of the final Match result. It has been applied to Match data from the Arctic winters 1995, 1996, 2000, and 2003. For these ozonesonde Match studies the effect of the error correlation on the uncertainty estimates is rather small: compared to a standard error analysis, the uncertainty estimates increase by 15% on average. However, the effect may be more pronounced for typical satellite Match analyses: for an Antarctic satellite Match study ( 2003), the uncertainty estimates increase by 60% on average. The analysis showed that the random errors of the ozone measurements and the net match errors, which result from a displacement of the second ozone measurement of a match from the required position, are of similar magnitude. This demonstrates that the criteria for accepting a match ( maximum trajectory duration, match radius, spread of trajectory clusters etc.) ensure that, given the unavoidable ozone-measurement errors, the magnitude of the net match errors is adequate. The estimate of the random errors of the ozonesonde measurements agrees well with laboratory results.</t>
  </si>
  <si>
    <t>Alfred Wegener Inst Polar &amp; Marine Res, Res Unit Potsdam, D-14473 Potsdam, Germany</t>
  </si>
  <si>
    <t>Alfred Wegener Inst Polar &amp; Marine Res, Res Unit Potsdam, Telegrafenberg A43, D-14473 Potsdam, Germany.</t>
  </si>
  <si>
    <t>rlehmann@awi-potsdam.de</t>
  </si>
  <si>
    <t>von der Gathen, Peter/B-8515-2009; Rex, Markus/A-6054-2009</t>
  </si>
  <si>
    <t>von der Gathen, Peter/0000-0001-7409-1556; Rex, Markus/0000-0001-7847-8221</t>
  </si>
  <si>
    <t>10.5194/acp-5-2713-2005</t>
  </si>
  <si>
    <t>975EN</t>
  </si>
  <si>
    <t>Green Published, gold</t>
  </si>
  <si>
    <t>WOS:000232643900003</t>
  </si>
  <si>
    <t>Melcher, J; Olbrich, D; Marsh, G; Nikiforov V; Gaus, C; Gaul, S; Vetter, W</t>
  </si>
  <si>
    <t>Melcher, J; Olbrich, D; Marsh, G; Nikiforov, V; Gaus, C; Gaul, S; Vetter, W</t>
  </si>
  <si>
    <t>Tetra- and tribromopbenoxyanisoles in marine samples from Oceania</t>
  </si>
  <si>
    <t>POLYBROMINATED DIPHENYL ETHERS; HALOGENATED NATURAL-PRODUCTS; NATURALLY PRODUCED ORGANOHALOGENS; SALMON SALMO-SALAR; SEABIRD EGGS; BALTIC SEA; IDENTIFICATION; CHROMATOGRAPHY; DIVERSITY; SPONGES</t>
  </si>
  <si>
    <t>Some methoxylated polybrominated diphenyl ethers (MeO-BDEs) are known halogenated natural products (HNPs) and are frequently detected in higher organisms of the marine environment. In this study we demonstrate that a prominent MeO-BDE, previously detected in marine mammals from Australia, is identical to 3,5-dibromo-2-(2',4'-dibromo)phenoxyanisole(BC-3,6-MeO-BDE47). Up to 1.9mg/ kg of 6-MeO-BDE 47 was present in cetaceans from Australia, 0.2-0.3 mg/kg in two crocodile eggs from Australia, but concentrations of 1 or 2 orders of magnitude lower were found in shark liver oil from New Zealand and in marine mammals from Africa and the Antarctic. Concentrations of 6-MeO-BDE47 in samples from Australia were in the same range as anthropogenic pollutants such as PCB 153 and p,p'-DDE. Along with 6-MeO-BDE 47 and the known HNP 4,6-dibromo-2-(2',4'-dibromo)phenoxyanisole (BC-2,2'-MeO-BDE 68), several tribromophenoxyanisoles (MeO-triBDE) were present in tissue of Australian cetaceans. To determine their structure, abiotic debromination experiments were performed using 6-MeO-BDE 47 and 2'-MeO-BDE 68 and superreduced di cyanocobalamine. These experiments resulted in formation of eight MeO-triBDEs, all of which were detected in the cetacean samples. Five of these eight MeO-triBDEs could be identified based on two standard compounds as well as gas chromatographic and mass spectrometric features. It was also shown that the first eluting isomer (compound 1), 6-MeO-BDE 17 (compound 2), and 2-MeO-BDE 39 (compound 5) were the most prominent MeO-triBDEs in the Australian cetacean samples. The concentrations of the MeO-triBDEs in two cetacean samples were 0.20 and 0.36 mg/kg, respectively. Although the reductive debromination with dicyanocobalamine resulted in a different congener pattern than was found in the marine mammals, it could not be excluded that the tribromo congeners of 6-MeO-BDE 47 and 2'-MeO-BDE 68 in the samples were metabolites of the latter.</t>
  </si>
  <si>
    <t>Univ Hohenheim, Inst Food Chem, D-70599 Stuttgart, Germany; Stockholm Univ, Dept Environm Chem, SE-10691 Stockholm, Sweden; St Petersburg Univ, Dept Chem, St Petersburg 198504, Russia; St Petersburg Univ, Inst Chem, St Petersburg 198504, Russia; Univ Queensland, Natl Res Ctr Environm Toxicol, Brisbane, Qld 4108, Australia</t>
  </si>
  <si>
    <t>University Hohenheim; Stockholm University; Saint Petersburg State University; Saint Petersburg State University; University of Queensland</t>
  </si>
  <si>
    <t>Vetter, W (corresponding author), Univ Hohenheim, Inst Food Chem, Garbenstr 28, D-70599 Stuttgart, Germany.</t>
  </si>
  <si>
    <t>Gaus, Caroline/B-3387-2009</t>
  </si>
  <si>
    <t>Gaus, Caroline/0000-0002-0585-8511</t>
  </si>
  <si>
    <t>OCT 15</t>
  </si>
  <si>
    <t>10.1021/es051090g</t>
  </si>
  <si>
    <t>976UH</t>
  </si>
  <si>
    <t>WOS:000232758400008</t>
  </si>
  <si>
    <t>Morhange, C; Pirazzoli, PA</t>
  </si>
  <si>
    <t>Mid-Holocene emergence of southern Tunisian coasts</t>
  </si>
  <si>
    <t>MARINE GEOLOGY</t>
  </si>
  <si>
    <t>sea-level change; bioconstructions; isostasy; eustasy; Holocene; Tunisia</t>
  </si>
  <si>
    <t>SEA-LEVEL CHANGE; SOUTHEASTERN TUNISIA; HOLOCENE; EXAMPLE</t>
  </si>
  <si>
    <t>We present new sea-level data from the coasts of southern Tunisia, between the Gulf of Gabes and the Libyan border. The work tests, previously, published evidence on Holocene shorelines, and confirmed that a distinct emergence has occurred in this area during this time. The emergence peak lies at least 186 +/- 11 cm above present and is inferred from: (1) AMS radiocarbon dates of subtidal vermetids and boring shells collected in growth position, and (2) careful assessment of tidal heights. Maximum emergence took place between about 6000 and 5000 C-14 years BP; it cannot be ascribed to tectonics and is probably related to post-glacial hydro-isostatic effects. It challenges the inference of a 3-m global sea-level rise since 6000 years BP due to residual Antarctic melting. (c) 2005 Elsevier B.V. All rights reserved.</t>
  </si>
  <si>
    <t>CNRS, Lab Geog Phys, UMR 8591, F-92195 Meudon, France; CNRS, CEREGE, UMR 6635, F-13545 Aix En Provence, France</t>
  </si>
  <si>
    <t>Universite Paris-Est-Creteil-Val-de-Marne (UPEC); Centre National de la Recherche Scientifique (CNRS); CNRS - Institute of Ecology &amp; Environment (INEE); Universite PSL; College de France; Aix-Marseille Universite; Centre National de la Recherche Scientifique (CNRS); Institut de Recherche pour le Developpement (IRD)</t>
  </si>
  <si>
    <t>Pirazzoli, PA (corresponding author), CNRS, Lab Geog Phys, UMR 8591, 1 Pl Aristide Briand, F-92195 Meudon, France.</t>
  </si>
  <si>
    <t>morhange@cerege.fr; pirazzol@cnrs-bellevue.fr</t>
  </si>
  <si>
    <t>0025-3227</t>
  </si>
  <si>
    <t>MAR GEOL</t>
  </si>
  <si>
    <t>Mar. Geol.</t>
  </si>
  <si>
    <t>10.1016/j.margeo.2005.06.031</t>
  </si>
  <si>
    <t>Geosciences, Multidisciplinary; Oceanography</t>
  </si>
  <si>
    <t>Geology; Oceanography</t>
  </si>
  <si>
    <t>975QV</t>
  </si>
  <si>
    <t>WOS:000232677900011</t>
  </si>
  <si>
    <t>Smith, BE; Bentley, CR; Raymond, CF</t>
  </si>
  <si>
    <t>Recent elevation changes on the ice streams and ridges of the Ross Embayment from ICESat crossovers</t>
  </si>
  <si>
    <t>WEST ANTARCTICA; MASS-BALANCE; SHEET</t>
  </si>
  <si>
    <t>We analyze differences in ICESat elevation estimates at orbital crossover locations to determine short-term rates of elevation change for small regions within the Ross Embayment of the West Antarctic Ice sheet. A linear regression of crossover elevation difference against time difference gives an estimate of the mean elevation-change rate during the ICESat mission to date. We observe prevalent elevation change in the south, with uplift in the upstream end of Kamb Ice Stream at 0.24 - 0.30 m a(-1), and thinning in the parts of Whillans Ice Stream, Mercer Ice Stream, and the adjacent Conway and Engelhardt ice ridges at 0.05 - 0.18 m a(-1). These rates of elevation change are too large to be explained by the 0.02 - 0.03 m a(-1) formal regression error, by seasonal height variations, or by accumulation- or densification-rate variability, suggesting that they reflect real variations stemming from ice dynamics of the region.</t>
  </si>
  <si>
    <t>Univ Washington, Seattle, WA 98195 USA; Univ Wisconsin, Dept Geol &amp; Geophys, Madison, WI 53705 USA</t>
  </si>
  <si>
    <t>University of Washington; University of Washington Seattle; University of Wisconsin System; University of Wisconsin Madison</t>
  </si>
  <si>
    <t>Smith, BE (corresponding author), Univ Washington, Seattle, WA 98195 USA.</t>
  </si>
  <si>
    <t>ben@ess.washington.edu</t>
  </si>
  <si>
    <t>Raymond, Peter/0000-0002-8564-7860</t>
  </si>
  <si>
    <t>OCT 14</t>
  </si>
  <si>
    <t>L21S09</t>
  </si>
  <si>
    <t>10.1029/2005GL024365</t>
  </si>
  <si>
    <t>975TT</t>
  </si>
  <si>
    <t>WOS:000232686200001</t>
  </si>
  <si>
    <t>Varotsou, A; Boscher, D; Bourdarie, S; Horne, RB; Glauert, SA; Meredith, NP</t>
  </si>
  <si>
    <t>Simulation of the outer radiation belt electrons near geosynchronous orbit including both radial diffusion and resonant interaction with Whistler-mode chorus waves</t>
  </si>
  <si>
    <t>RELATIVISTIC ELECTRONS; MAGNETIC STORM; GEOMAGNETIC STORMS; ZONE ELECTRONS; SALAMMBO CODE; OCTOBER 9; ACCELERATION; ENERGIES; ENERGIZATION; SCATTERING</t>
  </si>
  <si>
    <t>We present the first simulation results for electrons in the outer radiation belt near geosynchronous orbit, where radial diffusion and resonant interactions with whistler-mode chorus outside the plasmasphere are taken into account. Bounce averaged pitch-angle and energy diffusion rates are introduced in the Salammbo code for L &lt;= 6.5, for electron energies between 10 keV and 3 MeV and fpe/fce values between 1.5 and 10. Results show that an initial seed population with a power law (Kappa) distribution and a characteristic plasmasheet energy of similar to 5 keV can be accelerated up to a few MeV, for 4.5 &lt; L &lt; 6.6 and give a steady state profile similar to the one obtained from average satellite measurements. For a Kp = 4 magnetic storm simulation MeV electron fluxes increase by more than a factor of 10 on a timescale of 1 day. We conclude that whistler-mode chorus waves can be a major electron acceleration process at geostationary orbit.</t>
  </si>
  <si>
    <t>Off Natl Etud &amp; Rech Aerosp, Dept Space Environm, F-31055 Toulouse, France; British Antarctic Survey, NERC, Cambridge CB3 0ET, England</t>
  </si>
  <si>
    <t>National Office for Aerospace Studies &amp; Research (ONERA); UK Research &amp; Innovation (UKRI); Natural Environment Research Council (NERC); NERC British Antarctic Survey</t>
  </si>
  <si>
    <t>Off Natl Etud &amp; Rech Aerosp, Dept Space Environm, 2 Ave Edouard Belin, F-31055 Toulouse, France.</t>
  </si>
  <si>
    <t>athina.varotsou@onecert.fr; daniel.boscher@onecert.fr; sebastien.bourdarie@onecert.fr; r.horne@bas.ac.uk; sagl@bas.ac.uk; nmer@bas.ac.uk</t>
  </si>
  <si>
    <t>Horne, Richard B/U-3764-2019; Meredith, Nigel P/C-5806-2018</t>
  </si>
  <si>
    <t>Horne, Richard B/0000-0002-0412-6407; Meredith, Nigel/0000-0001-5032-3463</t>
  </si>
  <si>
    <t>L19106</t>
  </si>
  <si>
    <t>10.1029/2005GL023282</t>
  </si>
  <si>
    <t>975TR</t>
  </si>
  <si>
    <t>WOS:000232686000002</t>
  </si>
  <si>
    <t>Kim, DH; Nakashiki, N; Yoshida, Y; Maruyama, K; Bryan, FO</t>
  </si>
  <si>
    <t>Regional cooling in the South Pacific sector of the Southern Ocean due to global warming</t>
  </si>
  <si>
    <t>TRANSIENT CLIMATE-CHANGE; ATMOSPHERIC CO2; COUPLED MODEL; SIMULATION; RESPONSES</t>
  </si>
  <si>
    <t>This study investigates processes leading to regional cooling in global warming experiments conducted with the NCAR fully coupled Community Climate System Model (CCSM3). While several previous studies have investigated regional cooling in the South Pacific sector of the Southern Ocean, the mechanism leading to this response remains unclear. We find that changes in ocean circulation offer the key to understanding the regional cooling. The regional cooling in the South Pacific sector of the Southern Ocean, especially the area north of the Ross Sea, results mainly through an advective mechanism. The ocean topography contributes strongly to the change of ocean circulation through changes in bottom vortex stretching associated with a decrease in the Antarctic Circumpolar Current transport.</t>
  </si>
  <si>
    <t>Cent Res Inst Elect Power Ind, Abiko, Chiba, Japan; Natl Ctr Atmospher Res, Boulder, CO 80305 USA</t>
  </si>
  <si>
    <t>Central Research Institute of Electric Power Industry - Japan; National Center Atmospheric Research (NCAR) - USA</t>
  </si>
  <si>
    <t>Korea Meteorol Adm, Seoul 156720, South Korea.</t>
  </si>
  <si>
    <t>dhkim@kma.go.kr</t>
  </si>
  <si>
    <t>Bryan, Frank/I-1309-2016</t>
  </si>
  <si>
    <t>Bryan, Frank/0000-0003-1672-8330</t>
  </si>
  <si>
    <t>OCT 13</t>
  </si>
  <si>
    <t>L19607</t>
  </si>
  <si>
    <t>10.1029/2005GL023708</t>
  </si>
  <si>
    <t>975TQ</t>
  </si>
  <si>
    <t>WOS:000232685900005</t>
  </si>
  <si>
    <t>Abel, GA; Freeman, MP; Chisham, G</t>
  </si>
  <si>
    <t>Comment on Location of the reconnection line for northward interplanetary magnetic field'' by K.J. Trattner, S.A. Fuselier, and S.M. Petrinec</t>
  </si>
  <si>
    <t>IONOSPHERIC CONVECTION; AURORAL DISTRIBUTION; BZ NORTHWARD; CONFIGURATION; MAGNETOSHEATH; FLUX; IMF</t>
  </si>
  <si>
    <t>gaab@bas.ac.uk; mpf@bas.ac.uk; gchi@bas.ac.uk</t>
  </si>
  <si>
    <t>Abel, Gary/ABE-1765-2021; Freeman, Mervyn/E-5687-2019</t>
  </si>
  <si>
    <t>Abel, Gary/0000-0003-2231-5161; Freeman, Mervyn/0000-0002-8653-8279</t>
  </si>
  <si>
    <t>A10208</t>
  </si>
  <si>
    <t>10.1029/2004JA010973</t>
  </si>
  <si>
    <t>975US</t>
  </si>
  <si>
    <t>WOS:000232689500002</t>
  </si>
  <si>
    <t>Hoppel, K; Bevilacqua, R; Canty, T; Salawitch, R; Santee, M</t>
  </si>
  <si>
    <t>A measurement/model comparison of ozone photochemical loss in the Antarctic ozone hole using Polar Ozone and Aerosol Measurement observations and the Match technique</t>
  </si>
  <si>
    <t>POAM-III OZONE; LOWER STRATOSPHERE; ARCTIC WINTER; 3-DIMENSIONAL MODEL; UPPER TROPOSPHERE; BROMINE BUDGET; CHEMICAL LOSS; VORTEX; DEPLETION; CLO</t>
  </si>
  <si>
    <t>[1] The Polar Ozone and Aerosol Measurement (POAM III) instrument has provided 6 years ( 1998 to present) of Antarctic ozone profile measurements, which detail the annual formation of the ozone hole. During the period of ozone hole formation the measurement latitude follows the edge of the polar night and presents a unique challenge for comparing with model simulations. The formation of the ozone hole has been simulated by using a photochemical box model with an ensemble of trajectories, and the results were sampled at the measurement latitude for comparison with the measured ozone. The agreement is generally good but very sensitive to the model dynamics and less sensitive to changes in the model chemistry. In order to better isolate the chemical ozone loss the Match technique was applied to 5 years of data to directly calculate ozone photochemical loss rates. The measured loss rates are specific to the high solar zenith angle conditions of the POAM-Match trajectories and are found to increase slowly from July to early August and then increase rapidly until mid-September. The Match results are sensitive to the choice of meteorological analysis used for the trajectory calculations. The ECMWF trajectories yield the smallest, and perhaps most accurate, peak loss rates that can be reproduced by a photochemical model using standard JPL 2002 kinetics, assuming reactive bromine (BrOx) of 14 pptv based solely on contributions from CH3Br and halons, and without requiring ClOx to exceed the upper limit for available inorganic chlorine of 3.7 ppbv. Larger Match ozone loss rates are found for the late August and early September period if trajectories based on UKMO and NCEP analyses are employed. Such loss rates require higher values for ClO and/or BrO than can be simulated using JPL 2002 chemical kinetics and complete activation of chlorine. In these cases, the agreement between modeled and measured loss rates is significantly improved if the model employs larger ClOOCl cross sections ( e. g., Burkholder et al., 1990) and BrOx of 24 ppt which reflects significant contributions from very short-lived bromocarbons to the inorganic bromine budget.</t>
  </si>
  <si>
    <t>USN, Res Lab, Washington, DC 20375 USA; CALTECH, Jet Prop Lab, Pasadena, CA 91109 USA</t>
  </si>
  <si>
    <t>United States Department of Defense; United States Navy; Naval Research Laboratory; National Aeronautics &amp; Space Administration (NASA); NASA Jet Propulsion Laboratory (JPL); California Institute of Technology</t>
  </si>
  <si>
    <t>USN, Res Lab, Washington, DC 20375 USA.</t>
  </si>
  <si>
    <t>Salawitch, Ross/B-4605-2009; Santee, MIchelle/R-5762-2019; Canty, Tim/F-2631-2010</t>
  </si>
  <si>
    <t>Canty, Tim/0000-0003-0618-056X</t>
  </si>
  <si>
    <t>OCT 12</t>
  </si>
  <si>
    <t>D19</t>
  </si>
  <si>
    <t>D19304</t>
  </si>
  <si>
    <t>10.1029/2004JD005651</t>
  </si>
  <si>
    <t>975TZ</t>
  </si>
  <si>
    <t>WOS:000232687000002</t>
  </si>
  <si>
    <t>Meredith, MP; King, JC</t>
  </si>
  <si>
    <t>Rapid climate change in the ocean west of the Antarctic Peninsula during the second half of the 20th century</t>
  </si>
  <si>
    <t>SOUTHERN-OCEAN; SEA; VARIABILITY</t>
  </si>
  <si>
    <t>The climate of the Western Antarctic Peninsula (WAP) is the most rapidly changing in the Southern Hemisphere, with a rise in atmospheric temperature of nearly 3 degrees C since 1951 and associated cryospheric impacts. We demonstrate here, for the first time, that the adjacent ocean showed profound coincident changes, with surface summer temperatures rising more than 1 degrees C and a strong upper-layer salinification. Initially driven by atmospheric warming and reduced rates of sea ice production, these changes constitute positive feedbacks that will contribute significantly to the continued climate change. Marine species in this region have extreme sensitivities to their environment, with population and species removal predicted in response to very small increases in ocean temperature. The WAP region is an important breeding and nursery ground for Antarctic krill, a key species in the Southern Ocean foodweb with a known dependence on the physical environment. The changes observed thus have significant ecological implications.</t>
  </si>
  <si>
    <t>mmm@bas.ac.uk</t>
  </si>
  <si>
    <t>Meredith, Michael/0000-0002-7342-7756</t>
  </si>
  <si>
    <t>OCT 7</t>
  </si>
  <si>
    <t>L19604</t>
  </si>
  <si>
    <t>10.1029/2005GL024042</t>
  </si>
  <si>
    <t>973WC</t>
  </si>
  <si>
    <t>WOS:000232552300005</t>
  </si>
  <si>
    <t>Hoffman, JI; Amos, W</t>
  </si>
  <si>
    <t>Does kin selection influence fostering behaviour in Antarctic fur seals (Arctocephalus gazella)?</t>
  </si>
  <si>
    <t>relatedness; parental exclusion; microsatellite; genotyping error; pinniped; non-filial nursing</t>
  </si>
  <si>
    <t>HAWAIIAN MONK SEALS; MICROSATELLITE LOCI; MONACHUS-SCHAUINSLANDI; PAIRWISE RELATEDNESS; REPRODUCTIVE SUCCESS; HALICHOERUS-GRYPUS; MOLECULAR MARKERS; GENOTYPING ERRORS; GENETIC-MARKERS; MUTATION-RATES</t>
  </si>
  <si>
    <t>A recent observation that female Antarctic fur seals foster pups born to related females raises the fascinating possibility that kin selection may promote altruistic behaviour even on a crowded breeding beach, where individual interactions are frequent and complex. However, the use of genetic markers to identify small numbers of unusually highly related individuals is fraught with difficulty due to the likely presence of genotyping errors and related problems. Consequently, we examined an enlarged dataset where errors had been reduced to an absolute minimum by a combination of close scrutiny and repeat genotyping. We find no support for the idea that females preferentially suckle pups born to female relatives. Instead, the previously reported pattern can be explained by a combination of genotyping errors and de novo mutations. Our study emphasizes the need for caution when interpreting rare events that occur at a rate approaching that expected for normal genotyping errors.</t>
  </si>
  <si>
    <t>Univ Cambridge, Dept Zool, Cambridge CB2 3EJ, England</t>
  </si>
  <si>
    <t>University of Cambridge</t>
  </si>
  <si>
    <t>Univ Cambridge, Dept Zool, Downing St, Cambridge CB2 3EJ, England.</t>
  </si>
  <si>
    <t>jih24@cam.ac.uk</t>
  </si>
  <si>
    <t>Hoffman, Joseph/K-7725-2012</t>
  </si>
  <si>
    <t>Hoffman, Joseph/0000-0001-5895-8949</t>
  </si>
  <si>
    <t>10.1098/rspb.2005.3176</t>
  </si>
  <si>
    <t>969YD</t>
  </si>
  <si>
    <t>WOS:000232271000005</t>
  </si>
  <si>
    <t>Collins, MA; Bailey, DM; Ruxton, GD; Priede, IG</t>
  </si>
  <si>
    <t>Trends in body size across an environmental gradient: A differential response in scavenging and non-scavenging demersal deep-sea fish</t>
  </si>
  <si>
    <t>Northeast Atlantic; deep water; fishes; body size; scavengers; predators</t>
  </si>
  <si>
    <t>EASTERN NORTH-ATLANTIC; PORCUPINE SEABIGHT; COMMUNITY STRUCTURE; BATHYMETRIC DISTRIBUTION; ENERGETIC FEASIBILITY; ASSEMBLAGE STRUCTURE; IN-SITU; SLOPE; PROGRAM; FALLS</t>
  </si>
  <si>
    <t>Body size trends across environmental gradients are widely reported but poorly understood. Here, we investigate contrasting relationships between size (body mass) and depth in the scavenging and predatory demersal ichthyofauna (800-4800 m) of the North-east Atlantic. The mean size of scavenging fish, identified as those regularly attracted to baited cameras, increased significantly with depth, while in nonscavengers there was a significant decline in size. The increase in scavenger size is a consequence of both intra and inter-specific effects. The observation of opposing relationships, in different functional groups, across the same environmental gradient indicates ecological rather than physiological causes. Simple energetic models indicate that the dissimilarity can be explained by different patterns of food distribution. While food availability declines with depth for both groups, the food is likely to be in large, randomly distributed packages for scavengers and as smaller but more evenly distributed items for predators. Larger size in scavengers permits higher swimming speeds, greater endurance as a consequence of larger energy reserves and lower mass specific metabolic rate, factors that are critical to survival on sporadic food items.</t>
  </si>
  <si>
    <t>British Antarctic Survey, NERC, Cambridge CB3 0ET, England; Univ Calif San Diego, Scripps Inst Oceanog, Marine Biol Res Div, La Jolla, CA 92093 USA; Univ Glasgow, Inst Biomed &amp; Life Sci, Div Environm &amp; Evolut Biol, Glasgow G12 8QQ, Lanark, Scotland; Univ Aberdeen, Sch Biol Sci, Oceanlab, Aberdeen AB41 6AA, Scotland</t>
  </si>
  <si>
    <t>UK Research &amp; Innovation (UKRI); Natural Environment Research Council (NERC); NERC British Antarctic Survey; University of California System; University of California San Diego; Scripps Institution of Oceanography; University of Glasgow; University of Aberdeen</t>
  </si>
  <si>
    <t>Collins, Martin A/J-8560-2017; , Martin/ABE-6728-2020; Bailey, David/A-6240-2008</t>
  </si>
  <si>
    <t>, Martin/0000-0001-7132-8650; Priede, Imants/0000-0002-5064-9751; Bailey, David/0000-0002-0824-8823</t>
  </si>
  <si>
    <t>10.1098/rspb.2005.3189</t>
  </si>
  <si>
    <t>WOS:000232271000010</t>
  </si>
  <si>
    <t>Suzuki, T; Hasumi, H; Sakamoto, TT; Nishimura, T; Abe-Ouchi, A; Segawa, T; Okada, N; Oka, A; Emori, S</t>
  </si>
  <si>
    <t>Projection of future sea level and its variability in a high-resolution climate model: Ocean processes and Greenland and Antarctic ice-melt contributions</t>
  </si>
  <si>
    <t>RISE; AOGCMS</t>
  </si>
  <si>
    <t>Using a high- resolution climate model, we projected future sea level and its variability based on two scenarios for 21st century greenhouse gas emission. The globally averaged sea level rise attributable to the steric contribution was 23 and 30 cm for the two scenarios. The results of the high- resolution model and a medium-resolution version of the same model for global and local sea level change agreed well. However, the high- resolution model represented more detailed ocean structure changes under global warming. The changes affected not only the spatial distribution of sea level rise, but also the changes in local sea level variability associated with ocean eddies. The enhanced eddy activity was responsible for extreme sea level events.</t>
  </si>
  <si>
    <t>Japan Agcy Marine Earth Sci &amp; Technol, Frontier Res Ctr Global Change, Yokohama, Kanagawa 2360001, Japan; Univ Tokyo, Ctr Climate Syst Res, Kashiwa, Chiba 2778568, Japan; Natl Inst Environm Studies, Tsukuba, Ibaraki 3058506, Japan</t>
  </si>
  <si>
    <t>Japan Agency for Marine-Earth Science &amp; Technology (JAMSTEC); University of Tokyo; National Institute for Environmental Studies - Japan</t>
  </si>
  <si>
    <t>Japan Agcy Marine Earth Sci &amp; Technol, Frontier Res Ctr Global Change, Yokohama, Kanagawa 2360001, Japan.</t>
  </si>
  <si>
    <t>tsuzuki@jamstec.go.jp</t>
  </si>
  <si>
    <t>Okada, Naosuke/E-1393-2012; Abe-Ouchi, Ayako A/M-6359-2013; Emori, Seita/D-1950-2012; Segawa, Takehiko/M-1052-2018</t>
  </si>
  <si>
    <t>Okada, Naosuke/0000-0002-0308-9333; Abe-Ouchi, Ayako A/0000-0003-1745-5952; SUZUKI, TATSUO/0000-0002-6259-6466</t>
  </si>
  <si>
    <t>OCT 6</t>
  </si>
  <si>
    <t>L19706</t>
  </si>
  <si>
    <t>10.1029/2005GL023677</t>
  </si>
  <si>
    <t>973WA</t>
  </si>
  <si>
    <t>WOS:000232552100002</t>
  </si>
  <si>
    <t>Adalgeirsdóttir, G; Gudmundsson, GH; Björnsson, H</t>
  </si>
  <si>
    <t>Volume sensitivity of Vatnajokull Ice Cap, Iceland, to perturbations in equilibrium line altitude -: art. no. F04001</t>
  </si>
  <si>
    <t>3-DIMENSIONAL NUMERICAL-MODEL; GLACIER; SHEETS; SWITZERLAND; GROWTH</t>
  </si>
  <si>
    <t>[1] The sensitivity of Vatnajokull ice cap, Iceland, to perturbations in equilibrium line altitude (ELA) is analyzed by performing a series of model experiments using a shallow ice approximation (SIA) flow model. For this purpose a simple but realistic parameterization for the mass balance is used that accurately simulates the observed variability in surface mass balance over a period of nine years. We find that because of feedback between mass balance and altitude the ice cap either grows without bounds or settles to steady states depending on whether ELA is larger or smaller than a critical value ELA(crit). The largest modeled steady state is 60% of the current volume of the ice cap. The ice cap, as modeled, is therefore currently not close to a possible stable steady state. Past climate history and spatial and temporal variations in basal condition, such as surges, can be expected to have an influence on the ice cap and have to be taken into account when modeling the response of the ice cap to future climate change scenarios. For the neighboring ice cap, Hofsjokull, the relationship between ELA and volume is, in contrast, found to be simple, and Hofsjokull is close to a stable steady state with respect to the current climatic conditions. Introducing surges, which is not done here, will likely change the details of the ELA-volume relationship of Vatnajokull, presumably by making the relationship between volume and ELA more complex, and possibly less sensitive, as a further nonlinear feature is added to the model.</t>
  </si>
  <si>
    <t>ETH Zentrum, Versuchsanstalt Wasserbau Hydrol &amp; Glaziol, Zurich, Switzerland; British Antarctic Survey, NERC, Cambridge CB3 0ET, England; Univ Iceland, Inst Earth Sci, IS-101 Reykjavik, Iceland</t>
  </si>
  <si>
    <t>Swiss Federal Institutes of Technology Domain; ETH Zurich; UK Research &amp; Innovation (UKRI); Natural Environment Research Council (NERC); NERC British Antarctic Survey; University of Iceland</t>
  </si>
  <si>
    <t>ETH Zentrum, Versuchsanstalt Wasserbau Hydrol &amp; Glaziol, Zurich, Switzerland.</t>
  </si>
  <si>
    <t>tolly@raunvis.hi.is</t>
  </si>
  <si>
    <t>Adalgeirsdottir, Gudfinna/M-3073-2015; Gudmundsson, Gudmundur Hilmar/F-6499-2012; Gudmundsson, Gudmundur Hilmar/AAU-5987-2020</t>
  </si>
  <si>
    <t>Gudmundsson, Gudmundur Hilmar/0000-0003-4236-5369; Gudmundsson, Gudmundur Hilmar/0000-0003-4236-5369</t>
  </si>
  <si>
    <t>F04001</t>
  </si>
  <si>
    <t>10.1029/2005JF000289</t>
  </si>
  <si>
    <t>973WS</t>
  </si>
  <si>
    <t>WOS:000232553900002</t>
  </si>
  <si>
    <t>Yamamoto-Kawai, M; Tanaka, N; Pivovarov, S</t>
  </si>
  <si>
    <t>Freshwater and brine behaviors in the Arctic Ocean deduced from historical data of δ18O and alkalinity (1929-2002 AD) -: art. no. C10003</t>
  </si>
  <si>
    <t>COLD HALOCLINE LAYER; SOUTHERN CANADIAN BASIN; SEA-ICE; EURASIAN BASIN; RIVER RUNOFF; DISSOLVED BARIUM; BERING STRAIT; MASS-BALANCE; CHUKCHI SEAS; LAPTEV SEA</t>
  </si>
  <si>
    <t>[1] The long-term data sets of total alkalinity ( TA) ( 1929 - 2002 A. D.) and delta O-18 ( 1966 - 2002 A. D.) are used to investigate freshwater and brine distributions in the Arctic Ocean. Fractions of sea ice meltwater and other freshwaters ( OF) ( precipitation, river runoff, and freshwater carried by Pacific water implied as salinity deficit) are calculated on the basis of salinity-TA and salinity-delta O-18 relationships. Rejected brine during sea ice growth resides in surface water in the central Arctic Ocean, while net melting is found along the surface flow of water from the Pacific and Atlantic oceans. Distribution of OF at 10 m water depth suggests that Russian runoff leaves the shelf mainly west of the Mendeleyev Ridge, enters into the deep basin, and exits from the ocean through the western part of Fram Strait. The influence of Mackenzie River water is limited in the region and in depth. Accumulation of freshwater in the Canadian Basin is caused by deep penetration of OF with brine, indicating the transport of freshwater by shelf-derived water. The major origin of shelf-derived water entering into the upper halocline layer in the Canadian Basin should be the Chukchi and East Siberian Sea shelves, and the main freshwater sources are the salinity deficit of Pacific water and/or Russian runoff. An increase in OF inventory accompanied by an increase in brine content may suggest an increase of the shelf-derived water supply into the western Canadian Basin in anticyclonic years.</t>
  </si>
  <si>
    <t>Univ Alaska Fairbanks, Int Arctic Res Ctr, Fairbanks, AK 99775 USA; Arctic &amp; Antarctic Res Inst, St Petersburg 199397, Russia; JAMSTEC, Inst Observat Res Global Change, Yokosuka, Kanagawa, Japan</t>
  </si>
  <si>
    <t>University of Alaska System; University of Alaska Fairbanks; Arctic &amp; Antarctic Research Institute; Japan Agency for Marine-Earth Science &amp; Technology (JAMSTEC)</t>
  </si>
  <si>
    <t>Inst Ocean Sci, POB 6000, Sidney, BC V8L 4B2, Canada.</t>
  </si>
  <si>
    <t>KawaiM@pac.dfo-mpo.gc.ca; yamami@iarc.uaf.edu</t>
  </si>
  <si>
    <t>Yamamoto-Kawai, Michiyo/F-7611-2013</t>
  </si>
  <si>
    <t>Yamamoto-Kawai, Michiyo/0000-0002-1035-2179</t>
  </si>
  <si>
    <t>C10</t>
  </si>
  <si>
    <t>C10003</t>
  </si>
  <si>
    <t>10.1029/2004JC002793</t>
  </si>
  <si>
    <t>973WW</t>
  </si>
  <si>
    <t>WOS:000232554300002</t>
  </si>
  <si>
    <t>Regoli, F; Nigro, M; Benedetti, M; Fattorini, D; Gorbi, S</t>
  </si>
  <si>
    <t>Antioxidant efficiency in early life stages of the Antarctic silverfish, Pleuragramma antarcticum:: Responsiveness to pro-oxidant conditions of platelet ice and chemical exposure</t>
  </si>
  <si>
    <t>AQUATIC TOXICOLOGY</t>
  </si>
  <si>
    <t>Pleuragramma antarcticum; platelet ice; oxidative stress; early life stages; antioxidants; total oxyradical scavenging capacity; benzo(a)pyrene; biomarkers</t>
  </si>
  <si>
    <t>OXIDANT SCAVENGING CAPACITY; TERRA-NOVA BAY; OXIDATIVE STRESS; ENZYME-ACTIVITIES; PHOTOCHEMICAL PRODUCTION; OXYRADICAL METABOLISM; SEASONAL VARIABILITY; ADAMUSSIUM-COLBECKI; LIPID-PEROXIDATION; ROSS SEA</t>
  </si>
  <si>
    <t>The Antarctic silverfish Pleuragramma antarcticum is a key organism in the ecology of Southern Ocean. Eggs with fully developed yolk-sac embryos and newly hatched larvae have been recently observed to occur in the platelet ice accumulating below the sea-ice layer. This environment has strong pro-oxidant characteristics at the beginning of austral spring, when the rapid growth of algal ice communities, the massive release of nutrients and the photoactivation of dissolved organic carbon and nitrates, all represent important sources for oxyradical formation. Such processes are concentrated in a short period of a few weeks which overlaps with the final development of P. antarcticum in platelet ice. The aim of this work was to characterize the antioxidant system in embryos of P. antarcticum and the responsiveness toward the natural increase of pro-oxidant conditions in early spring. Considering the lack of ecotoxicological data on this species and its pivotal importance in the ecosystem of Southern Ocean, the sensitivity of its early life stages was also evaluated after laboratory exposures to environmentally relevant doses of benzo(a)pyrene, as a model chemical potentially released from anthropogenic activities. Obtained results revealed a marked temporal increase of antioxidants in embryos of P. antarcticum as adaptive counteracting responses to oxidative conditions of platelet ice. Particularly prompt responses were observed for glutathione metabolism which, however, did not prevent formation of increasing levels of lipid peroxidation products; from the analysis of total oxyradical scavenging capacity (TOSC), the overall efficiency to neutralize peroxyl radicals remained almost constant while slightly lower TOSC values were obtained toward hydroxyl radicals at the end of sampling period. Laboratory exposures to 0.5-5 mu g/1 BaP caused a significant accumulation of this PAH but no significant effects on the activity of cytochrome P450. Antioxidants of exposed embryos showed less marked variations than embryos in field conditions suggesting that the elevated pro-oxidant challenge, to which these organisms are naturally adapted, might be responsible for the moderate responsiveness to pro-oxidant chemicals. (c) 2005 Elsevier B.V. All rights reserved.</t>
  </si>
  <si>
    <t>Univ Politecn Marche, Inst Biol &amp; Genet, I-60100 Ancona, Italy; Univ Pisa, Dipartimento Morfol Umana &amp; Biol Applicata, Pisa, Italy</t>
  </si>
  <si>
    <t>Univ Politecn Marche, Inst Biol &amp; Genet, Via Ranieri Monte Ago, I-60100 Ancona, Italy.</t>
  </si>
  <si>
    <t>regoli@univpm.it</t>
  </si>
  <si>
    <t>freire, fernanda/AAX-1814-2021; Benedetti, Maura/K-5399-2016; Fattorini, Daniele/A-2969-2010; gorbi, stefania/K-5662-2016; Regoli, Francesco/K-2719-2018</t>
  </si>
  <si>
    <t>Benedetti, Maura/0000-0003-0803-3846; Fattorini, Daniele/0000-0002-5847-4722; gorbi, stefania/0000-0002-4232-2652; Regoli, Francesco/0000-0001-6084-6188</t>
  </si>
  <si>
    <t>0166-445X</t>
  </si>
  <si>
    <t>1879-1514</t>
  </si>
  <si>
    <t>AQUAT TOXICOL</t>
  </si>
  <si>
    <t>Aquat. Toxicol.</t>
  </si>
  <si>
    <t>OCT 5</t>
  </si>
  <si>
    <t>10.1016/j.aquatox.2005.07.003</t>
  </si>
  <si>
    <t>Marine &amp; Freshwater Biology; Toxicology</t>
  </si>
  <si>
    <t>972DN</t>
  </si>
  <si>
    <t>WOS:000232434300004</t>
  </si>
  <si>
    <t>Geibert, W; van der Loeff, MMR; Usbeck, R; Gersonde, R; Kuhn, G; Seeberg-Elverfeldt, J</t>
  </si>
  <si>
    <t>Quantifying the opal belt in the Atlantic and southeast Pacific sector of the Southern Ocean by means of 230Th normalization -: art. no. GB4001</t>
  </si>
  <si>
    <t>ANTARCTIC POLAR FRONT; BIOGENIC SILICA; ORGANIC-CARBON; PARTICLE COMPOSITION; SURFACE SEDIMENTS; WEDDELL GYRE; CYCLE; SEA; ACCUMULATION; PA-231</t>
  </si>
  <si>
    <t>[1] A set of 114 samples from the sediment surface of the Atlantic, eastern Pacific and western Indian sectors of the Southern Ocean has been analyzed for Th-230 and biogenic silica. Maps of opal content, Th-normalized mass flux, and Th-normalized biogenic opal flux into the sediment have been derived. Significant differences in sedimentation patterns between the regions can be detected. The mean bulk vertical fluxes integrated into the sediment in the open Southern Ocean are found in a narrow range from 2.9 g m(-2) yr(-1) ( Eastern Weddell Gyre) to 15.8 g m(-2) yr(-1) ( Indian sector), setting upper and lower limits to the vertically received fraction of open ocean sediments. The silica flux to sediments of the Atlantic sector of the Southern Ocean is found to be 4.2 +/- 1.4 x 10(11) mol yr(-1), just one half of the last estimate. This adjustment represents 6% of the output term in the global marine silica budget.</t>
  </si>
  <si>
    <t>Alfred Wegener Inst Polar &amp; Marine Res, D-27570 Bremerhaven, Germany; FIELAX Co Sci Data Management, D-27568 Bremerhaven, Germany</t>
  </si>
  <si>
    <t>Alfred Wegener Inst Polar &amp; Marine Res, Handelshafen 12, D-27570 Bremerhaven, Germany.</t>
  </si>
  <si>
    <t>wgeibert@awi-bremerhaven.de</t>
  </si>
  <si>
    <t>Geibert, Walter/C-3722-2011; Seeberg-Elverfeldt, Jens/AAV-7554-2021; Geibert, Walter/ABA-9785-2020</t>
  </si>
  <si>
    <t>Geibert, Walter/0000-0001-8646-2334; Kuhn, Gerhard/0000-0001-6069-7485; Rutgers van der Loeff, Michiel/0000-0003-1393-3742</t>
  </si>
  <si>
    <t>GB4001</t>
  </si>
  <si>
    <t>10.1029/2005GB002465</t>
  </si>
  <si>
    <t>973WJ</t>
  </si>
  <si>
    <t>WOS:000232553000001</t>
  </si>
  <si>
    <t>Ho, CH; Kim, JH; Kim, HS; Sui, CH; Gong, DY</t>
  </si>
  <si>
    <t>Possible influence of the Antarctic Oscillation on tropical cyclone activity in the western North Pacific</t>
  </si>
  <si>
    <t>HEMISPHERE ANNULAR MODE; EXTRATROPICAL CIRCULATION; INTERANNUAL VARIABILITY; SOUTHERN-OSCILLATION; SUMMER MONSOON; EL-NINO; CYCLOGENESIS; TEMPERATURE; CONVECTION; REANALYSIS</t>
  </si>
  <si>
    <t>[1] The present study investigates how large-scale atmospheric circulation in the Southern Hemisphere (SH) modulates tropical cyclone (TC) activity in the western North Pacific (WNP) during a typhoon season ( July, August, and September; boreal summer). The variation of the SH circulation of interest is the Antarctic Oscillation (AAO). In the positive phase of AAO relative to its negative phase, two anomalous highs develop over the western Pacific in both hemispheres: a huge anticyclone in southeastern Australia and a relatively weak anticyclone in the East China Sea. These teleconnection patterns are examined and compared with previous analyses. Related to the AAO variations, a statistically significant alteration of TC activities is found over the WNP. The difference in the mean TC passage numbers over the East China Sea (120 degrees - 140 degrees E, 20 degrees- 40 degrees N) between the eight highest-AAO years and the eight lowest-AAO years is as large as 2, equivalent to a 50 - 100% increase from the climatology. This change is primarily a result of more TCs forming over the eastern Philippine Sea. On the other hand, TC passage numbers slightly decrease over the South China Sea. These changes in TC activity are predominant in August and are consistent with changes in low-level vorticity over the subtropical WNP. The influence of SH circulation variability on large-scale environments and tropical convection in the subtropical NH suggest a possible usage of AAO variation for long-range forecasting of TC activity over the WNP.</t>
  </si>
  <si>
    <t>Seoul Natl Univ, Sch Earth &amp; Environm Sci, Seoul 151742, South Korea; Natl Cent Univ, Inst Hydrol Sci, Jhongli 320, Taiwan; Beijing Normal Univ, Inst Resources Sci, Beijing 100875, Peoples R China</t>
  </si>
  <si>
    <t>Seoul National University (SNU); National Central University; Beijing Normal University</t>
  </si>
  <si>
    <t>Seoul Natl Univ, Sch Earth &amp; Environm Sci, Seoul 151742, South Korea.</t>
  </si>
  <si>
    <t>hoch@cpl.snu.ac.kr</t>
  </si>
  <si>
    <t>Kim, Joo-Hong/J-8929-2012; Ho, Chang-Hoi/H-8354-2015; Kim, Hyeong-Seog/F-4496-2010</t>
  </si>
  <si>
    <t>Kim, Joo-Hong/0000-0003-3087-9864; SUI, CHUNG-HSIUNG/0000-0001-5524-174X; SUI, CHUNG-HSIUNG/0000-0003-2842-5660; Kim, Hyeong-Seog/0000-0003-2577-3301</t>
  </si>
  <si>
    <t>D19104</t>
  </si>
  <si>
    <t>10.1029/2005JD005766</t>
  </si>
  <si>
    <t>973WN</t>
  </si>
  <si>
    <t>WOS:000232553400002</t>
  </si>
  <si>
    <t>Mcinnes, SJ; Convey, P</t>
  </si>
  <si>
    <t>Tardigrade fauna of the South Sandwich Islands, maritime Antarctic</t>
  </si>
  <si>
    <t>biogeography; dispersal; geothermal activity; Tardigrada</t>
  </si>
  <si>
    <t>The maritime Antarctic South Sandwich Islands are an isolated oceanic archipelago of volcanic origin lying between 56 degrees 18'S, 27 degrees 34'W and 59 degrees 27'S, 27 degrees 22'W. All the islands are of recent origin (maximum ages 0.5-3 million years) with many still exhibiting some form of volcanic activity. The islands are part of the Scotia Arc, lying on a crustal upwarp extending from South Georgia through the South Sandwich Islands to the South Shetland Islands that connects the Andean chain of South America to the Antarctic Peninsula. As part of an extensive biological survey completed during early 1997, samples were collected from 10 of the 11 major islands in the archipelago from which the tardigrade fauna has subsequently been extracted. We report the composition of this fauna, and discuss its biogeographical relationships. Tardigrade species richness was low (6 taxa), in keeping with the recent formation and isolation of these islands. However, as reported previously for the terrestrial arthropod fauna and bryophyte flora, there is indication of both sub- and maritime Antarctic origin.</t>
  </si>
  <si>
    <t>sjmc@bas.ac.uk</t>
  </si>
  <si>
    <t>Convey, Peter/AAV-5728-2020; McInnes, Sandra/AAN-4773-2020</t>
  </si>
  <si>
    <t>Convey, Peter/0000-0001-8497-9903; McInnes, Sandra/0000-0003-3403-9379</t>
  </si>
  <si>
    <t>OCT 4</t>
  </si>
  <si>
    <t>970MQ</t>
  </si>
  <si>
    <t>WOS:000232314700003</t>
  </si>
  <si>
    <t>Kim, S; Walsh, W; Xiao, KC; Lane, AP</t>
  </si>
  <si>
    <t>A 12CO J=4 → 3 high-velocity cloud in the Large Magellanic Cloud</t>
  </si>
  <si>
    <t>ASTRONOMICAL JOURNAL</t>
  </si>
  <si>
    <t>ISM : atoms; ISM : general; ISM : molecules; Magellanic Clouds</t>
  </si>
  <si>
    <t>ANTARCTIC-SUBMILLIMETER-TELESCOPE; REMOTE-OBSERVATORY OBSERVATIONS; 30 DORADUS; APERTURE SYNTHESIS; 30-DORADUS NEBULA; MOLECULAR CLOUDS; STAR-FORMATION; CO SURVEY; EMISSION; COMPLEX</t>
  </si>
  <si>
    <t>We present Antarctic Submillimeter Telescope and Remote Observatory observations of (CO)-C-12 J = 4 -&gt; 3 and (12)[C I] emission in the 30 Doradus complex in the Large Magellanic Cloud. We detected strong (CO)-C-12 J = 4 -&gt; 3 emission toward R140, a multiple system of Wolf-Rayet stars located on the rim of the expanding H II shell surrounding the R136 cluster. We also detected a high-velocity gas component as a separate feature in the (CO)-C-12 J = 4 -&gt; 3 spectrum. This component probably originates from molecular material accelerated as a result of the combined motion induced by the stellar winds and explosions of supernovae, including several fast-expanding H II shells in the complex. The lower limit on the total kinetic energy of the atomic and molecular gas component is similar to 2 x 10(51) ergs, suggesting that this comprises only 20% of the total kinetic energy contained in the H II complex structure.</t>
  </si>
  <si>
    <t>Sejong Univ, Dept Astron &amp; Space Sci, Seoul 143747, South Korea; Harvard Smithsonian Ctr Astrophys, Cambridge, MA 02138 USA</t>
  </si>
  <si>
    <t>Sejong University; Harvard University; Smithsonian Institution; Smithsonian Astrophysical Observatory</t>
  </si>
  <si>
    <t>Sejong Univ, Dept Astron &amp; Space Sci, KunJa Dong 98, Seoul 143747, South Korea.</t>
  </si>
  <si>
    <t>skim@arcsec.sejong.ac.kr; wwalsh@cfa.harvard.edu; kxiao@cfa.harvard.edu; adair@cfa.harvard.edu</t>
  </si>
  <si>
    <t>Kim, Sungeun/AAH-3658-2021</t>
  </si>
  <si>
    <t>Kim, Sungeun/0000-0002-7558-8502</t>
  </si>
  <si>
    <t>0004-6256</t>
  </si>
  <si>
    <t>1538-3881</t>
  </si>
  <si>
    <t>ASTRON J</t>
  </si>
  <si>
    <t>Astron. J.</t>
  </si>
  <si>
    <t>OCT</t>
  </si>
  <si>
    <t>10.1086/432933</t>
  </si>
  <si>
    <t>969XW</t>
  </si>
  <si>
    <t>WOS:000232270200021</t>
  </si>
  <si>
    <t>Oppenheimer, C; Kyle, PR; Tsanev, VI; McGonigle, AJS; Mather, TA; Sweeney, D</t>
  </si>
  <si>
    <t>Mt. Erebus, the largest point source of NO2 in Antarctica</t>
  </si>
  <si>
    <t>troposphere; plume; NOx; DOAS</t>
  </si>
  <si>
    <t>MOUNT EREBUS; SOUTH-POLE; VOLCANIC-ERUPTIONS; PHOTOCHEMICAL NO; NITROGEN-OXIDES; EMISSION RATES; GAS EMISSIONS; TRACE GASES; SO2; CHEMISTRY</t>
  </si>
  <si>
    <t>We report here the first observations of NO2 emission from Mt. Erebus, a volcano with an active lava lake located on Ross Island, Antarctica. Erebus generates a persistent plume, which is entrained at an altitude of about 4 km above sea level. Its NO2 flux, measured by scattered light ultraviolet spectroscopy in December 2003, was equivalent to similar to 0.6 Cig (N) yr(-1). The total reactive nitrogen supply may be significantly higher than this since other NOy species are likely to have been present in the plume. We believe the NO2 is generated by thermal fixation of atmospheric nitrogen at the hot lava surface, forming NO, which then reacts rapidly with oxidants including ozone to yield NO2. Erebus volcano has displayed lava lake activity for many decades and may, therefore, play a significant long-term role in Antarctic tropospheric chemistry, and represent an important source of nitrogen deposited to the ice surface. (c) 2005 Elsevier Ltd. All rights reserved.</t>
  </si>
  <si>
    <t>Univ Cambridge, Dept Geog, Cambridge CB2 3EN, England; New Mexico Inst Min &amp; Technol, Dept Earth &amp; Environm Sci, Socorro, NM 87801 USA; Univ Cambridge, Dept Earth Sci, Cambridge CB2 3EQ, England</t>
  </si>
  <si>
    <t>University of Cambridge; New Mexico Institute of Mining Technology; University of Cambridge</t>
  </si>
  <si>
    <t>Univ Cambridge, Dept Geog, Downing Pl, Cambridge CB2 3EN, England.</t>
  </si>
  <si>
    <t>co200@cam.ac.uk</t>
  </si>
  <si>
    <t>Mather, Tamsin A/A-7604-2011; McGonigle, Andrew JS/B-5198-2012; Oppenheimer, Clive/G-9881-2013</t>
  </si>
  <si>
    <t>Mather, Tamsin A/0000-0003-4259-7303; Oppenheimer, Clive/0000-0003-4506-7260; mcgonigle, andrew/0000-0002-0234-9981; Ruth, Dawn/0000-0001-9369-9364</t>
  </si>
  <si>
    <t>10.1016/j.atmosenv.2005.06.036</t>
  </si>
  <si>
    <t>972DW</t>
  </si>
  <si>
    <t>WOS:000232435200022</t>
  </si>
  <si>
    <t>Xavier, JC; Croxall, JP; Cresswell, KA</t>
  </si>
  <si>
    <t>Boluses: An effective method for assessing the proportions of cephalopods in the diet of albatrosses</t>
  </si>
  <si>
    <t>AUK</t>
  </si>
  <si>
    <t>albatrosses; Cephalopoda; diets; food sample methods</t>
  </si>
  <si>
    <t>SOUTH GEORGIA; INTERANNUAL VARIATION; WANDERING ALBATROSS; DIOMEDEA-EXULANS; BIRD ISLAND; CHRYSOSTOMA; PELLETS; PREY</t>
  </si>
  <si>
    <t>The method of collecting and analyzing boluses to characterize the cephalopod diet of albatrosses has been used in many diet studies. However, no study has validated this method. We compared boluses and stomach samples from Gray-headed Albatrosses (Thalassarche chrysostoma) and Black-browed Albatrosses (T melanophris) to (1) study the consumption and diversity of cephalopods in these species, (2) investigate biases associated with each sampling method, and (3) estimate the number of samples needed to characterize these albatross's cephalopod diet. We found that collection and analysis of boluses is a simple, efficient, and noninvasive method for assessing the cephalopod diet of these albatross species, but it is inadequate for characterizing the more easily digestible dietary components, such as fish and crustaceans. Both boluses and stomach samples showed that the two albatross species fed on cephalopods of similar sizes and from the same families (Ommastrephidae, Onychoteuthidae, and Cranchiidae). Furthermore, the main prey species (Martialia hyadesi, Kondakovia longimana, and Galiteuthis glacialis) and the total number of cephalopod species consumed (18-24 species) were the same for both albatrosses. To include all cephalopod species, using a sample-randomization technique, a minimum of 61 and 43 boluses were needed for Gray-headed and Blackbrowed albatrosses, respectively; but to adequately describe the diversity and size frequency of the main prey species, 82 and 371 boluses would be needed.</t>
  </si>
  <si>
    <t>Univ Algarve, Ctr Marine Sci CCMAR, Campus Gambelas, P-8000117 Faro, Portugal.</t>
  </si>
  <si>
    <t>jccx@cantab.net</t>
  </si>
  <si>
    <t>Xavier, José/KFB-6739-2024</t>
  </si>
  <si>
    <t>Cresswell, Katherine/0000-0003-1692-4964; /0000-0002-9621-6660</t>
  </si>
  <si>
    <t>AMER ORNITHOLOGISTS UNION</t>
  </si>
  <si>
    <t>ORNITHOLOGICAL SOC NORTH AMER PO BOX 1897, LAWRENCE, KS 66044-8897 USA</t>
  </si>
  <si>
    <t>0004-8038</t>
  </si>
  <si>
    <t>1938-4254</t>
  </si>
  <si>
    <t>10.1642/0004-8038(2005)122[1182:BAEMFA]2.0.CO;2</t>
  </si>
  <si>
    <t>987HO</t>
  </si>
  <si>
    <t>WOS:000233509200014</t>
  </si>
  <si>
    <t>Harris, CM</t>
  </si>
  <si>
    <t>Aircraft operations near concentrations of birds in Antarctica: The development of practical guidelines</t>
  </si>
  <si>
    <t>birds; penguin; behaviour; aircraft; overflight; disturbance; impact; indicator; guidelines; separation distance; Antarctica</t>
  </si>
  <si>
    <t>PENGUINS PYGOSCELIS-ADELIAE; DISTURBANCE</t>
  </si>
  <si>
    <t>Aircraft operations have the potential to disturb and to impact negatively on bird life. A gradient of increasing behavioural response is evident in birds when exposed to increasing aircraft stimulus. The most major disturbance is likely to lead to impacts on the health, breeding performance and survival of individual birds, and perhaps bird colonies. A process of revision to policies on aircraft operations contained in management plans for a number of specially protected areas in Antarctica by the United Kingdom, accompanied by consultations made within the scientific community through the Scientific Committee on Antarctic Research (SCAR) and with operational interests through the Council of Managers of National Antarctic Programmes (COMNAP) resulted in new guidelines being adopted by the Antarctic Treaty Consultative Parties in June 2004. The principal recommendations of the guidelines are that bird colonies should not be overflown below 2000 ft (similar to 610 m) above ground level and landings within 1/2 nautical mile (similar to 930 m) of bird colonies should be avoided wherever possible. These guidelines are less stringent and less specific than those that were recommended by the SCAR specialist group on birds, and represent a compromise to accommodate operational needs. While the adoption of clear and consistent guidelines for the operation of aircraft in Antarctica is welcome in that this provides practical advice that is likely to reduce incidences of close aircraft/bird encounters, there remains insufficient knowledge of the interactions between aircraft and birds in Antarctica, and the consequent impacts on individual birds and on bird populations. It is important, therefore, that the guidelines adopted are considered interim, and should be kept under scrutiny with revisions made as new and improved research results appear. (c) 2005 Elsevier Ltd. All rights reserved.</t>
  </si>
  <si>
    <t>Environm Res &amp; Assessment, Grantchester CB3 9NE, Cambs, England</t>
  </si>
  <si>
    <t>Harris, CM (corresponding author), Environm Res &amp; Assessment, 5 Footpath, Grantchester CB3 9NE, Cambs, England.</t>
  </si>
  <si>
    <t>c.harris@era.gs</t>
  </si>
  <si>
    <t>10.1016/j.biocon.2005.04.002</t>
  </si>
  <si>
    <t>943MK</t>
  </si>
  <si>
    <t>WOS:000230357900004</t>
  </si>
  <si>
    <t>Pepi, M; Agnorelli, C; Bargagli, R</t>
  </si>
  <si>
    <t>Iron demand by thermophilic and mesophilic bacteria isolated from an antarctic geothermal soil</t>
  </si>
  <si>
    <t>BIOMETALS</t>
  </si>
  <si>
    <t>thermophilic bacteria; geothermal soils; iron bioavailability; continental Antarctica</t>
  </si>
  <si>
    <t>NORTHERN VICTORIA-LAND; BACILLUS-SUBTILIS; MOUNT-RITTMANN; SP-NOV; MELBOURNE; TRANSPORT; FUMAROLES; STRAINS; PROTEIN; ISLAND</t>
  </si>
  <si>
    <t>The thermophilic bacterial strain MP4 assigned to a new species, likely of the genus Alicyclobacillus, was isolated from geothermal soils on the NW slope of Mount Melbourne, Antarctica. These soils have high iron concentrations and the strain MP4 requires iron additions for growth. Four mesophilic bacterial strains Paenibacillus validus MP5, MP8, and MP10, and P. apiarius MP7, isolated from the same site, need iron supply for growth depending on the medium. Growth temperature of thermophilic strain ranges from 42 to 70 degrees C, and that one of mesophiles from 25 to 44 degrees C. Thermophilic and mesophilic strains shared microenvironments with temperature of 42-44 degrees C and showed optima of pH values ranging from 5.5 to 6.0. The thermophilic strain MP4 reached values of 10(6) CFU ml(-1) in aqueous soil extract from the NW slope of Mt. Melbourne, and 10(5) CFU ml(-1) in water extracts from other geothermal Antarctic areas ( Mt. Rittmann and Cryptogam Ridge). Growth of thermophilic bacteria in aqueous extracts of the NW slope of Mount Melbourne soils caused a reduction of 50% of soluble iron content, which was recovered in bacterial biomass. These results suggest a possible involvement of the thermophilic strain MP4 in iron bioavailability in these geothermal soils.</t>
  </si>
  <si>
    <t>Univ Siena, I-53100 Siena, Italy</t>
  </si>
  <si>
    <t>Pepi, M (corresponding author), Univ Siena, Via PA Mattioli 4, I-53100 Siena, Italy.</t>
  </si>
  <si>
    <t>pepim@unisi.it</t>
  </si>
  <si>
    <t>Pepi, Milva/AAF-9693-2020</t>
  </si>
  <si>
    <t>Pepi, Milva/0000-0002-9420-2011</t>
  </si>
  <si>
    <t>0966-0844</t>
  </si>
  <si>
    <t>Biometals</t>
  </si>
  <si>
    <t>10.1007/s10534-005-0837-z</t>
  </si>
  <si>
    <t>991OO</t>
  </si>
  <si>
    <t>WOS:000233823500008</t>
  </si>
  <si>
    <t>Simmonds, I; Rafter, A; Cowan, T; Watkins, AB; Keay, K</t>
  </si>
  <si>
    <t>Large-scale vertical momentum, kinetic energy and moisture fluxes in the Antarctic sea-ice region</t>
  </si>
  <si>
    <t>BOUNDARY-LAYER METEOROLOGY</t>
  </si>
  <si>
    <t>Antarctica; extratropical cyclones; fluxes over the sea-ice zone; large-scale turbulence; NCEP re-analysis; sea ice</t>
  </si>
  <si>
    <t>EXTRATROPICAL CYCLONE BEHAVIOR; NCEP-NCAR REANALYSIS; NUMERICAL WEATHER PREDICTION; LAND-FAST ICE; SOUTHERN-OCEAN; ATMOSPHERIC RESPONSE; TEMPORAL VARIABILITY; DRAG COEFFICIENTS; WAVE-PROPAGATION; SATELLITE DATA</t>
  </si>
  <si>
    <t>There are very strong thermal gradients between the Antarctic continent and the sea-ice zone, and between that zone and the ocean to the north. As a result of these contrasts the sea-ice domain is one of strong cyclogenesis and high cyclone frequency. In this study we explore many aspects of that cyclonic behaviour and investigate the manner in which these systems influence, and are influenced by, the sea ice. Using the NCEP-DOE re-analyses (1979-2002) we have determined variables that are proportional to the mean of the wind stress and the mean rate at which mechanical energy is imparted to the surface. Using two decompositions of the wind field we have obtained estimates of how much of these fluxes are contributed to by the transient eddies. We find these to be significant over the sea ice and the ocean to the north, particularly when a new decomposition is used. The presence of frequent and vigorous cyclones is a central factor that determines the positive mean freshwater flux over the sea-ice zone(-1) stop) and assumes a maximum of 1.27 mm day(-1) stop in winter.</t>
  </si>
  <si>
    <t>Univ Melbourne, Sch Earth Sci, Melbourne, Vic 3010, Australia; Natl Climate Ctr, Bur Meteorol, Melbourne, Vic 3001, Australia</t>
  </si>
  <si>
    <t>University of Melbourne; Melbourne Bioinformatics; Bureau of Meteorology - Australia</t>
  </si>
  <si>
    <t>Simmonds, I (corresponding author), Univ Melbourne, Sch Earth Sci, Melbourne, Vic 3010, Australia.</t>
  </si>
  <si>
    <t>simmonds@unimelb.edu.au</t>
  </si>
  <si>
    <t>Cowan, Timothy D/AAA-7372-2019; Cowan, Tim/A-5797-2013; Rafter, Anthony S/F-3256-2011</t>
  </si>
  <si>
    <t>Cowan, Timothy D/0000-0002-8376-4879; Simmonds, Ian/0000-0002-4479-3255</t>
  </si>
  <si>
    <t>0006-8314</t>
  </si>
  <si>
    <t>BOUND-LAY METEOROL</t>
  </si>
  <si>
    <t>Bound.-Layer Meteor.</t>
  </si>
  <si>
    <t>10.1007/s10546-004-5939-6</t>
  </si>
  <si>
    <t>977HB</t>
  </si>
  <si>
    <t>WOS:000232792900008</t>
  </si>
  <si>
    <t>Bailey, DA; Rhines, PB; Hakkinen, S</t>
  </si>
  <si>
    <t>Formation and pathways of north atlantic deep water in a coupled ice-ocean model of the arctic-north atlantic oceans</t>
  </si>
  <si>
    <t>THERMOHALINE CIRCULATION; DECADAL VARIABILITY; HEAT-TRANSPORT; OVERTURNING CIRCULATION; CLIMATE VARIABILITY; NORDIC SEAS; OSCILLATION; OVERFLOW; RATES; SIMULATIONS</t>
  </si>
  <si>
    <t>We investigate the formation process and pathways of deep water masses in a coupled ice-ocean model of the Arctic and North Atlantic Oceans. The intent is to determine the relative roles of these water masses from the different source regions (Arctic Ocean, Nordic Seas, and Subpolar Atlantic) in the meridional overturning circulation. The model exhibits significant decadal variability in the deep western boundary current and the overturning circulation. We use detailed diagnostics to understand the process of water mass formation in the model and the resulting effects on the North Atlantic overturning circulation. Particular emphasis is given to the multiple sources of North Atlantic Deep Water, the dominant deep water masses of the world ocean. The correct balance of Labrador Sea, Greenland Sea and Norwegian Sea sources is difficult to achieve in climate models, owing to small-scale sinking and convection processes. The global overturning circulation is described as a function of potential temperature and salinity, which more clearly signifies dynamical processes and clarifies resolution problems inherent to the high latitude oceans. We find that fluxes of deep water masses through various passages in the model are higher than observed estimates. Despite the excessive volume flux, the Nordic Seas overflow waters are diluted by strong mixing and enter the Labrador Sea at a lighter density. Through strong subpolar convection, these waters along with other North Atlantic water masses are converted into the densest waters [similar density to Antarctic Bottom Water (AABW)] in the North Atlantic. We describe the diminished role of salinity in the Labrador Sea, where a shortage of buoyant surface water (or excess of high salinity water) leads to overly strong convection. The result is that the Atlantic overturning circulation in the model is very sensitive to the surface heat flux in the Labrador Sea and hence is correlated with the North Atlantic Oscillation. As strong subpolar convection is found in other models, we discuss broader implications.</t>
  </si>
  <si>
    <t>George Mason Univ, Ctr Ocean Land Atmosphere Studies, Beltsville, MD 20705 USA; Univ Washington, Sch Oceanog, Seattle, WA 98195 USA; NASA, Goddard Space Flight Ctr, Greenbelt, MD USA</t>
  </si>
  <si>
    <t>George Mason University; University of Washington; University of Washington Seattle; National Aeronautics &amp; Space Administration (NASA); NASA Goddard Space Flight Center</t>
  </si>
  <si>
    <t>George Mason Univ, Ctr Ocean Land Atmosphere Studies, 4041 Powder Mill Rd,Suite 302, Beltsville, MD 20705 USA.</t>
  </si>
  <si>
    <t>bailey@cola.iges.org</t>
  </si>
  <si>
    <t>Hakkinen, Sirpa/E-1461-2012; Brophy, Deirdre/JQW-0281-2023</t>
  </si>
  <si>
    <t>Bailey, David/0000-0002-6584-0663</t>
  </si>
  <si>
    <t>10.1007/s00382-005-0050-3</t>
  </si>
  <si>
    <t>978YM</t>
  </si>
  <si>
    <t>WOS:000232909000004</t>
  </si>
  <si>
    <t>Tota, B; Amelio, D; Pellegrino, D; Ip, YK; Cerra, MC</t>
  </si>
  <si>
    <t>NO modulation of myocardial performance in fish hearts</t>
  </si>
  <si>
    <t>COMPARATIVE BIOCHEMISTRY AND PHYSIOLOGY A-MOLECULAR &amp; INTEGRATIVE PHYSIOLOGY</t>
  </si>
  <si>
    <t>SEB Symposium on Nitric Oxide</t>
  </si>
  <si>
    <t>Capri, ITALY</t>
  </si>
  <si>
    <t>amphibians; heart; myocardial performance; nitric oxide; teleost</t>
  </si>
  <si>
    <t>NITRIC-OXIDE SYNTHASE; ENDOCARDIAL ENDOTHELIUM; VENTRICULAR MYOCARDIUM; CARDIAC ENDOTHELIUM; ANTARCTIC TELEOSTS; FROG; VASOCONSTRICTION; CONTRACTION; RELAXATION; EXPRESSION</t>
  </si>
  <si>
    <t>In the mammalian heart, intracardiac nitric oxide (NO) regulates in an autocrine-paracrine manner cardiac function in the beat-to-beat response (Starling's law of the heart), short-term response (phasic control, e.g. excitation-contraction coupling, responses to neurotransmitters and endocrines) and long-term response (tonic control by altering gene expression). This trio of NO temporal-dependent actions has a long evolutionary history, as we have documented in the prototypic vertebrate heart, the teleost heart. This heart shares a common structural and functional scenario with higher vertebrate hearts exhibiting, at the same time, differences in myoarchitecture (trabecular vs. compact type), blood supply (lacunary vs. vascular) and pumping performance (sensitivity to filling pressure), thus providing challenging opportunities for revealing aspects Of unity and diversity of cardiac NO in vertebrates. Using in vitro working teleost heart preparations we have shown that, under basal conditions, NO through a cGMP-mediated mechanism modulates ventricular performance (negative inotropism) and remarkably increases the sensitivity to filling pressure (i.e. the Frank-Starling response). NO-cGMP mechanism also influences the short-term response elicited by inotropic agents such as acetylcholine and angiotensin II. A role of NO in long-term cardiac adaptation is illustrated by morphologic evidence (e.g. NOS immuno-localization in phylogenetically distant species) which emphasizes the importance of NO in reshaping the angio-rnyoarchitecture of the fish heart ventricle (i.e. compensation for regional heterogeneity). Finally, by studying the avascular hearts of teleosts and amphibians that lack vascular endothelium, a relevant role of endocardial endothelium-NO signalling in intracavitary regulation of myocardial performance has been firmly established, thus revealing its early evolutionary role in non-mammalian vertebrates. (C) 2005 Elsevier Inc. All rights reserved.</t>
  </si>
  <si>
    <t>Univ Calabria, Dipartimento Biol Cellulare, I-87030 Arcavacata Di Rende, CS, Italy; Univ Calabria, Dept Pharmacobiol, I-87030 Arcavacata Di Rende, CS, Italy; Staz Zool Anton Dohrn, I-80121 Naples, Italy; Natl Univ Singapore, Dept Biol Sci, Singapore 117543, Singapore</t>
  </si>
  <si>
    <t>University of Calabria; University of Calabria; Stazione Zoologica Anton Dohrn di Napoli; National University of Singapore</t>
  </si>
  <si>
    <t>Univ Calabria, Dipartimento Biol Cellulare, I-87030 Arcavacata Di Rende, CS, Italy.</t>
  </si>
  <si>
    <t>tota@unical.it</t>
  </si>
  <si>
    <t>; Ip, Yuen Kwong/H-8041-2012</t>
  </si>
  <si>
    <t>Cerra, Maria Carmela/0000-0002-2091-928X; Pellegrino, Daniela/0000-0002-9815-5195; Amelio, Daniela/0000-0002-5543-8531; Ip, Yuen Kwong/0000-0001-9124-7911</t>
  </si>
  <si>
    <t>STE 800, 230 PARK AVE, NEW YORK, NY 10169 USA</t>
  </si>
  <si>
    <t>1095-6433</t>
  </si>
  <si>
    <t>1531-4332</t>
  </si>
  <si>
    <t>COMP BIOCHEM PHYS A</t>
  </si>
  <si>
    <t>Comp. Biochem. Physiol. A-Mol. Integr. Physiol.</t>
  </si>
  <si>
    <t>10.1016/j.cbpb.2005.04.019</t>
  </si>
  <si>
    <t>Biochemistry &amp; Molecular Biology; Physiology; Zoology</t>
  </si>
  <si>
    <t>982ID</t>
  </si>
  <si>
    <t>WOS:000233150400010</t>
  </si>
  <si>
    <t>Wharton, DA; Barrett, J; Goodall, G; Marshall, CJ; Ramlov, H</t>
  </si>
  <si>
    <t>Ice-active proteins from the Antarctic nematode Panagrolaimus davidi</t>
  </si>
  <si>
    <t>CRYOBIOLOGY</t>
  </si>
  <si>
    <t>ice-binding; antifreeze; recrystallization inhibition; intracellular freezing</t>
  </si>
  <si>
    <t>THERMAL HYSTERESIS PROTEINS; STABLE ANTIFREEZE PROTEIN; RECRYSTALLIZATION INHIBITION; CRYOPROTECTIVE DEHYDRATION; PHOTOSYNTHETIC ORGANISMS; TERRESTRIAL NEMATODES; STRUCTURING PROTEINS; COLD TOLERANCE; ARTHROPODS; NUCLEATION</t>
  </si>
  <si>
    <t>The Antarctic nematode Panagrolaimus davidi has an ice-active protein that shows recrystallization inhibition but no thermal hysteresis. It belongs to a class of ice-active proteins found in a variety of freezing-tolerant organisms that display insignificant levels of thermal hysteresis in the context of the environmental temperatures to which they are exposed. The recrystallization inhibition activity of the P. davidi ice-active protein is present at low concentrations, is relatively heat stable, is affected more by acid than by alkaline pH, is not calcium dependant and is not affected by reagents that target carbohydrate residues or sulphydryl linkages. A hexagonal ice crystal growth form also indicates the presence of an ice-active protein. This protein could have important functions in the survival of intracellular freezing by this organism by controlling the stability of ice after its formation. (c) 2005 Elsevier Inc. All rights reserved.</t>
  </si>
  <si>
    <t>Univ Otago, Dept Zool, Dunedin, New Zealand; Univ Wales, Inst Biol Sci, Aberystwyth SY23 3DA, Dyfed, Wales; Roskilde Univ, Dept Life Sci &amp; Chem, DK-4000 Roskilde, Denmark</t>
  </si>
  <si>
    <t>University of Otago; Aberystwyth University; Roskilde University</t>
  </si>
  <si>
    <t>Univ Otago, Dept Zool, POB 56, Dunedin, New Zealand.</t>
  </si>
  <si>
    <t>david.wharton@stonebow.otago.ac.nz</t>
  </si>
  <si>
    <t>Barrett, John E/D-5851-2016; Marshall, Craig J./C-6668-2009</t>
  </si>
  <si>
    <t>Marshall, Craig J./0000-0003-4186-0368; Ramlov, Hans/0000-0003-1113-0583; Wharton, David/0000-0001-6369-4984</t>
  </si>
  <si>
    <t>0011-2240</t>
  </si>
  <si>
    <t>1090-2392</t>
  </si>
  <si>
    <t>Cryobiology</t>
  </si>
  <si>
    <t>10.1016/j.cryobiol.2005.07.001</t>
  </si>
  <si>
    <t>Biology; Physiology</t>
  </si>
  <si>
    <t>Life Sciences &amp; Biomedicine - Other Topics; Physiology</t>
  </si>
  <si>
    <t>973BO</t>
  </si>
  <si>
    <t>WOS:000232498100007</t>
  </si>
  <si>
    <t>Garibotti, IA; Vernet, M; Ferrario, ME</t>
  </si>
  <si>
    <t>Annually recurrent phytoplanktonic assemblages during summer in the seasonal ice zone west of the Antarctic Peninsula (Southern Ocean)</t>
  </si>
  <si>
    <t>phytoplankton; spatial and interannual dynamics; cryptophytes and diatoms; Western Antarctic Peninsula; Palmer LTER; project</t>
  </si>
  <si>
    <t>SIZE-FRACTIONATED PHYTOPLANKTON; BRANSFIELD-STRAIT REGION; SCOTIA CONFLUENCE AREA; MARINE ECOSYSTEM; ATLANTIC SECTOR; AUSTRAL SUMMER; BIOMASS; CARBON; VOLUME; SEA</t>
  </si>
  <si>
    <t>The distribution of phytoplankton composition, cell abundance and biomass from an area along the Western Antarctic Peninsula was studied during three summers, with the aim of understanding its dynamics over spatial and interannual scales. The studied area is characterized by seasonal sea-ice retreat and advance. Algae composition and concentration were found to be highly variable through the area as well as from year to year. Small unidentified phytoflagellates, diatoms and cryptophytes were the main phytoplankton groups, contributing the major proportion of total phytoplankton cell abundance and biomass concentration. Three annually recurrent phytoplankton assemblages were recognized in the area according to the algae composition and abundance: a diatom bloom associated with the seaice edge, an assemblage dominated by small unidentified phytoflagellates and cryptophytes, and a diatom-enriched assemblage in open waters. The distribution of these assemblages varied from year-to-year. During the summers preceded by early sea-ice retreat, the diatom bloom was spatially restricted and the other two assemblages occupied extended regions, whereas during the late sea-ice retreat year, the diatom bloom extended over a larger region and the other assemblages occupied smaller regions or were just absent. It was detected that these assemblages resemble different stages of the phytoplankton seasonal cycle, and that their distribution through the area can be related to a latitudinal and longitudinal gradient in the phytoplankton growth onset timing, associated with the progressive sea-ice retreat during spring. The local environmental conditions associated with each assemblage were also analyzed, but further study is needed for understanding the causes of the replacement of one assemblage by another through the area. On the other hand, the interannual variability in the distribution of the assemblages can be related to year-to-year differences in the timing of phytoplankton growth onset, associated with variations in the timing of the sea-ice retreat. (c) 2005 Elsevier Ltd. All rights reserved.</t>
  </si>
  <si>
    <t>Consejo Nacl Invest Cient &amp; Tecn, Inst Argentino Nivol Glaciol &amp; Ciencias Ambiental, CRICyT, RA-5500 Mendoza, Argentina; Univ Calif San Diego, Scripps Inst Oceanog, La Jolla, CA 92093 USA; Natl Univ La Plata, Fac Ciencias Nat &amp; Museo, RA-1900 La Plata, Argentina</t>
  </si>
  <si>
    <t>Consejo Nacional de Investigaciones Cientificas y Tecnicas (CONICET); University of California System; University of California San Diego; Scripps Institution of Oceanography; National University of La Plata; Museo La Plata</t>
  </si>
  <si>
    <t>Consejo Nacl Invest Cient &amp; Tecn, Inst Argentino Nivol Glaciol &amp; Ciencias Ambiental, CRICyT, CC 330, RA-5500 Mendoza, Argentina.</t>
  </si>
  <si>
    <t>ireneg@lab.cricyt.edu.ar</t>
  </si>
  <si>
    <t>10.1016/j.dsr.2005.05.003</t>
  </si>
  <si>
    <t>969CY</t>
  </si>
  <si>
    <t>WOS:000232212200003</t>
  </si>
  <si>
    <t>Leblanc, K; Hare, CE; Boyd, PW; Bruland, KW; Sohst, B; Pickmere, S; Lohan, MC; Buck, K; Ellwood, M; Hutchins, DA</t>
  </si>
  <si>
    <t>Fe and Zn effects on the Si cycle and diatom community structure in two contrasting high and low-silicate HNLC areas</t>
  </si>
  <si>
    <t>iron; zinc; silicate; diatoms; HNLC; HNLSiLC; trace metal limitation</t>
  </si>
  <si>
    <t>SUB-ARCTIC PACIFIC; ANTARCTIC SOUTHERN-OCEAN; NATURAL ORGANIC-LIGANDS; PHYTOPLANKTON GROWTH; IRON ENRICHMENT; PRIMARY PRODUCTIVITY; ZINC-DEFICIENCY; SURFACE WATERS; ROSS SEA; LIMITATION</t>
  </si>
  <si>
    <t>We compared the importance of Fe, Zn and Si availability for diatom growth and silicification through microcosm enrichment experiments in two contrasting HNLC systems of the Sub-Arctic and Sub-Antarctic Pacific. The Bering Sea was characterized by low Fe and Zn concentrations (&lt; 0.2 nM) but relatively high silicic acid (5.6-15.9 mu M). The addition of 0.25 nM Fe induced a 2-7-fold increase in diatom cell abundance (Pseudo-nitzschia sp. and Cylindrotheca closterium), an increase in Chl a, biogenic silica, and particulate organic carbon and nitrogen, and a 2-3-fold decrease in the average cellular Si content. Zn had no impact on biomass parameters or diatom community structure in this region. The Sub-Antarctic Zone (SAZ) was a low Si-HNLC system, with initial silicic acid levels of 0.45 mu M and Fe and Zn concentrations &lt; 0.03 nM. Si was the proximate limiting factor controlling diatom growth, followed by a secondary role for Fe on non-siliceous phytoplankton. In this region, we also found evidence for Zn-mediated changes in diatom community structure. The presence of Zn (+ 1 nM) shifted the community away from a large colonial pennate (Pseudonitzschia sp.) towards a smaller and less silicified solitary pennate (Cylindrotheca closterium), potentially prone to more rapid silica dissolution in the surface layer. Despite the dominance by the same two diatom genera, these two high-latitude regimes exhibited different nutrient limitation scenarios. Diatom growth in the Bering Sea was strongly Fe-limited, while the SAZ was mainly limited by Si and only secondarily by Fe. (c) 2005 Elsevier Ltd. All rights reserved.</t>
  </si>
  <si>
    <t>Univ Delaware, Coll Marine Studies, Lewes, DE 19958 USA; Univ Otago, NIWA Ctr Chem &amp; Phys Oceanog, Dept Chem, Dunedin, New Zealand; Univ Calif Santa Cruz, Inst Marine Sci, Santa Cruz, CA 95060 USA</t>
  </si>
  <si>
    <t>University of Delaware; University of Otago; University of California System; University of California Santa Cruz</t>
  </si>
  <si>
    <t>Univ Delaware, Coll Marine Studies, 700 Pilottown Rd, Lewes, DE 19958 USA.</t>
  </si>
  <si>
    <t>leblanc@udel.edu</t>
  </si>
  <si>
    <t>Buck, Kristen/O-3988-2014; Hutchins, David A/D-3301-2013; Ellwood, Michael J/G-7390-2011; Leblanc, Karine/C-6029-2009; Boyd, Philip/J-7624-2014</t>
  </si>
  <si>
    <t>Buck, Kristen/0000-0002-3871-870X; Hutchins, David A/0000-0002-6637-756X; Ellwood, Michael/0000-0003-4288-8530; Boyd, Philip/0000-0001-7850-1911; Lohan, Maeve/0000-0002-5340-3108</t>
  </si>
  <si>
    <t>10.1016/j.dsr.2005.06.005</t>
  </si>
  <si>
    <t>WOS:000232212200004</t>
  </si>
  <si>
    <t>Hall, CM</t>
  </si>
  <si>
    <t>Antarctic challenges: Historical and current perspectives on Otto Nordenskjold's antarctic expedition 1901-1903.</t>
  </si>
  <si>
    <t>ENVIRONMENTAL HISTORY</t>
  </si>
  <si>
    <t>Univ Otago, Dunedin, New Zealand; Univ Oulu, Dept Geog, Oulu, Finland</t>
  </si>
  <si>
    <t>University of Otago; University of Oulu</t>
  </si>
  <si>
    <t>Hall, CM (corresponding author), Univ Otago, Dunedin, New Zealand.</t>
  </si>
  <si>
    <t>DURHAM</t>
  </si>
  <si>
    <t>701 VICKERS AVE, DURHAM, NC 27701-3147 USA</t>
  </si>
  <si>
    <t>1084-5453</t>
  </si>
  <si>
    <t>ENVIRON HIST</t>
  </si>
  <si>
    <t>Environ. Hist.</t>
  </si>
  <si>
    <t>10.1093/envhis/10.4.797</t>
  </si>
  <si>
    <t>Environmental Studies; History</t>
  </si>
  <si>
    <t>Social Science Citation Index (SSCI); Arts &amp; Humanities Citation Index (A&amp;HCI)</t>
  </si>
  <si>
    <t>Environmental Sciences &amp; Ecology; History</t>
  </si>
  <si>
    <t>993CD</t>
  </si>
  <si>
    <t>WOS:000233929400010</t>
  </si>
  <si>
    <t>Wang, KY; Hadjinicolaou, P; Carver, GD; Shallcross, DE; Hall, SM</t>
  </si>
  <si>
    <t>Generation of low particle numbers at the edge of the polar vortex</t>
  </si>
  <si>
    <t>ENVIRONMENTAL MODELLING &amp; SOFTWARE</t>
  </si>
  <si>
    <t>vortex; contour advection; Lagrangian</t>
  </si>
  <si>
    <t>OZONE LOSS; TRANSPORT; MODEL; WAVES</t>
  </si>
  <si>
    <t>The Antarctic vortex plays a well-known role in stratospheric ozone depletion in the early southern spring. One key requirement for this phenomenon is the isolation of air from inside the vortex to that from mid-latitudes. This paper seeks a new way to present this separation leading to isolation process by integrating several Lagrangian methods: a flow following coordinate system that combines a contour advection technique, a Lagrangian particle model, and a vortex diagnostic method, with new ways of contour particle initializations, visualization, and interpretations. We found that there exists a distinctive area with low density of contour particle numbers in the vortex edge region, and this low particle density region separates high particle density areas inside the vortex from those in mid-latitudes. We demonstrated the existence of an area with low particle numbers surrounded by the high particle numbers to the north (inside the vortex) and to the south (mid-latitudes). We show that the polar night jet is (1) efficient in generating this low particle density plateau that separate particles from inside the vortex to that from outside the vortex. (2) The polar night jet can pull particles from outside the vortex to the vortex edge region, and maintaining these particles in the polar night jet and carrying them around the polar vortex. Hence, the existence of a proper polar night jet is the key process in separating particles from inside the vortex to those from mid-latitudes, and the meridional profile of zonal winds and their time-varying behaviour directly affect the distribution of particles both inside the vortex and at mid-latitudes. (c) 2004 Elsevier Ltd. All rights reserved.</t>
  </si>
  <si>
    <t>Natl Cent Univ, Dept Atmospher Sci, Chungli 32054, Taiwan; Univ Cambridge, Ctr Atmospher Sci, Cambridge CB2 1EW, England; Univ Bristol, Sch Chem, Ctr Biogeochem, Bristol BS8 1TS, Avon, England</t>
  </si>
  <si>
    <t>National Central University; University of Cambridge; University of Bristol</t>
  </si>
  <si>
    <t>Natl Cent Univ, Dept Atmospher Sci, Chungli 32054, Taiwan.</t>
  </si>
  <si>
    <t>kuoying@atm.ncu.edu.tw</t>
  </si>
  <si>
    <t>Hadjinicolaou, Panos/H-1729-2016</t>
  </si>
  <si>
    <t>Hadjinicolaou, Panos/0000-0003-1170-2182; Carver, Glenn/0000-0001-7582-6497</t>
  </si>
  <si>
    <t>1364-8152</t>
  </si>
  <si>
    <t>1873-6726</t>
  </si>
  <si>
    <t>ENVIRON MODELL SOFTW</t>
  </si>
  <si>
    <t>Environ. Modell. Softw.</t>
  </si>
  <si>
    <t>10.1016/j.envsoft.2004.09.005</t>
  </si>
  <si>
    <t>Computer Science, Interdisciplinary Applications; Engineering, Environmental; Environmental Sciences; Water Resources</t>
  </si>
  <si>
    <t>Computer Science; Engineering; Environmental Sciences &amp; Ecology; Water Resources</t>
  </si>
  <si>
    <t>930JK</t>
  </si>
  <si>
    <t>WOS:000229411800007</t>
  </si>
  <si>
    <t>Wang, KY; Shallcross, DE; Hall, SM; Lo, YH; Chou, C; Chen, D</t>
  </si>
  <si>
    <t>DOBSON: a Pentium-based SMP Linux PC Beowulf for distributed-memory high resolution environment modelling</t>
  </si>
  <si>
    <t>Beowulf; cluster computing; air pollution modelling; distributed-memory computing</t>
  </si>
  <si>
    <t>With the increasing computational speed of PC processors, lowering hardware prices, and the increasing accessibility of open source software, PC clusters hake become an attractive option for exploring budgetary high performance computation on high resolution environment modelling. This paper documents the implementation and operation of a Beowulf-class PC cluster called DOBSON built in the Atmospheric Modelling Laboratory at National Central University in Taiwan. Based on our current configuration, the DOBSON cluster achieves a 4.4-8.7 times of speedup with 8 and 14 CPUs. respectively, compared with a 1 CPU in simulations of the Antarctic vortex. The potential impacts of running a high resolution environmental modelling system on the DOBSON cluster were examined by case simulations of Typhoon Haiyan with a nested five-domain configuration. These results show that the complicated topographical flow in the Taipei Basin can only be properly resolved when model grid resolutions less than 9 km were used. 2005 Elsevier Ltd. All rights reserved.</t>
  </si>
  <si>
    <t>Natl Cent Univ, Dept Atmospher Sci, Chungli 32054, Taiwan; Univ Bristol, Sch Chem, Ctr Biogeochem, Bristol BS8 1TS, Avon, England; Univ Cambridge, Ctr Atmospher Sci, Cambridge CB2 1EW, England</t>
  </si>
  <si>
    <t>National Central University; University of Bristol; University of Cambridge</t>
  </si>
  <si>
    <t>10.1016/j.envsoft.2004.09.003</t>
  </si>
  <si>
    <t>WOS:000229411800009</t>
  </si>
  <si>
    <t>Rozema, J; Boelen, P; Blokker, P</t>
  </si>
  <si>
    <t>Depletion of stratospheric ozone over the Antarctic and Arctic: Responses of plants of polar terrestrial ecosystems to enhanced UV-B, an overview</t>
  </si>
  <si>
    <t>ENVIRONMENTAL POLLUTION</t>
  </si>
  <si>
    <t>Conference on Forests Under Changing Climate, Enhanced UV and Air Pollution</t>
  </si>
  <si>
    <t>AUG, 2004</t>
  </si>
  <si>
    <t>Oulu, FINLAND</t>
  </si>
  <si>
    <t>Antarctic; Arctic; UV-B; terrestrial polar ecosystems; tundra; stratospheric ozone; Deschampsia antarctica; Salix polaris</t>
  </si>
  <si>
    <t>TIERRA-DEL-FUEGO; SOLAR ULTRAVIOLET-RADIATION; UNCINATA HEDW. LOESKE; DESCHAMPSIA-ANTARCTICA; ABSORBING COMPOUNDS; VASCULAR PLANTS; CLIMATE-CHANGE; GLOBAL CHANGE; DNA-DAMAGE; FIELD</t>
  </si>
  <si>
    <t>Depletion of stratospheric ozone over the Antarctic has been re-occurring yearly since 1974, leading to enhanced UV-B radiation. Arctic ozone depletion has been observed since 1990. Ozone recovery has been predicted by 2050, but no signs of recovery occur. Here we review responses of polar plants to experimentally varied UV-B through supplementation or exclusion. In supplementation studies comparing ambient and above ambient UV-B, no effect on growth occurred. UV-B-induced DNA damage, as measured in polar bryophytes, is repaired overnight by photo reactivation. With UV exclusion, growth at near ambient may be less than at below ambient UV-B levels, which relates to the UV response curve of polar plants. UV-B screening foils also alter PAR, humidity, and temperature and interactions of UV with environmental factors may occur. Plant phenolics induced by solar UV-B, as in pollen, spores and lignin, may serve as a climate proxy for past UV. Since the Antarctic and Arctic terrestrial ecosystems differ essentially, (e.g. higher species diversity and more trophic interactions in the Arctic), generalization of polar plant responses to UV-B needs caution. (c) 2005 Elsevier Ltd. All rights reserved.</t>
  </si>
  <si>
    <t>Vrije Univ Amsterdam, Climate Ctr, Inst Ecol Sci, Dept Syst Ecol, NL-1081 HV Amsterdam, Netherlands</t>
  </si>
  <si>
    <t>Vrije Universiteit Amsterdam</t>
  </si>
  <si>
    <t>Vrije Univ Amsterdam, Climate Ctr, Inst Ecol Sci, Dept Syst Ecol, Boelelaan 1087, NL-1081 HV Amsterdam, Netherlands.</t>
  </si>
  <si>
    <t>jelte.rozema@ecology.falw.vu.nl</t>
  </si>
  <si>
    <t>0269-7491</t>
  </si>
  <si>
    <t>1873-6424</t>
  </si>
  <si>
    <t>ENVIRON POLLUT</t>
  </si>
  <si>
    <t>Environ. Pollut.</t>
  </si>
  <si>
    <t>10.1016/j.envpol.2005.01.048</t>
  </si>
  <si>
    <t>952CG</t>
  </si>
  <si>
    <t>WOS:000230978800007</t>
  </si>
  <si>
    <t>Tow, LA; Cowan, DA</t>
  </si>
  <si>
    <t>Dissemination and survival of non-indigenous bacterial genomes in pristine Antarctic environments</t>
  </si>
  <si>
    <t>16S rDNA PCR; Antarctica; Staphylococcus epidermidis; microbial contamination</t>
  </si>
  <si>
    <t>SEWAGE OUTFALL; ANCIENT DNA; SOIL; IDENTIFICATION; ICE</t>
  </si>
  <si>
    <t>Continental Antarctic is perceived as a largely pristine environment, although certain localized regions (e.g., parts of the Ross Dependency Dry Valleys) are relatively heavy impacted by human activities. The procedures imposed on Antarctic field parties for the handling and disposal of both solid and liquid wastes are designed to minimise eutrofication and contamination (particularly by human enteric bacteria). However, little consideration has been given to the significance, if any, of less obvious forms of microbial contamination resulting from periodic human activities in Antarctica. The predominant commensal microorganism on human skin, Staphylococcus epidermidis, could be detected by PCR, in Dry Valley mineral soils collected from heavily impacted areas, but could not be detected in Dry Valley mineral soils collected from low impact and pristine areas. Cell viability of this non-enteric human commensal is rapidly lost in Dry Valley mineral soil. However, S. epidermidis can persist for long periods in Dry Valley mineral soil as non-viable cells and/or naked DNA.</t>
  </si>
  <si>
    <t>Univ Western Cape, Adv Res Ctr Appl Microbiol, Dept Biotechnol, ZA-7535 Bellville, South Africa</t>
  </si>
  <si>
    <t>University of the Western Cape</t>
  </si>
  <si>
    <t>Univ Western Cape, Adv Res Ctr Appl Microbiol, Dept Biotechnol, ZA-7535 Bellville, South Africa.</t>
  </si>
  <si>
    <t>dcowan@uwc.ac.za</t>
  </si>
  <si>
    <t>Cowan, Donald A/E-3991-2012</t>
  </si>
  <si>
    <t>Cowan, Donald A/0000-0001-8059-861X</t>
  </si>
  <si>
    <t>SPRINGER JAPAN KK</t>
  </si>
  <si>
    <t>CHIYODA FIRST BLDG EAST, 3-8-1 NISHI-KANDA, CHIYODA-KU, TOKYO, 101-0065, JAPAN</t>
  </si>
  <si>
    <t>1431-0651</t>
  </si>
  <si>
    <t>1433-4909</t>
  </si>
  <si>
    <t>Extremophiles</t>
  </si>
  <si>
    <t>10.1007/s00792-005-0452-5</t>
  </si>
  <si>
    <t>971TA</t>
  </si>
  <si>
    <t>WOS:000232406400006</t>
  </si>
  <si>
    <t>Fioretti, AM; Black, LP; Foden, J; Visonà, D</t>
  </si>
  <si>
    <t>Grenville-age magmatism at the South Tasman Rise (Australia):: A new piercing point for the reconstruction of Rodinia</t>
  </si>
  <si>
    <t>South Tasman Rise; Rodinia; Grenville; East Antarctic craton; SHRIMP</t>
  </si>
  <si>
    <t>EAST ANTARCTICA; LAURENTIA; EVOLUTION; MARGIN; ROCKS; ND; DISCRIMINATION; SUPERCONTINENT; CONSTRAINTS; CONNECTION</t>
  </si>
  <si>
    <t>A U-Pb zircon sensitive high-resolution ion microprobe age of 1119.4 +/- 8.5 Ma, obtained from a quartz syenite dredged from the South Tasman Rise (Australia), provides the first direct evidence of the presence of Grenville-age magmatic rocks along the central part of the hypothesized Australia-East Antarctica conjugate margin of Laurentia. The distinctive mineralogy and geochemistry of the rock and its Sm-Nd and Pb isotopic signatures 1) indicate that it represents a juvenile Grenville-age addition to the crust, 2) support a correlation with the Grenville magmatic province of the western United States, and 3) set a unique pivotal point for a precise reconstruction of Rodinia. The resulting scenario implies the presence of a new magmatic province crossing the East Antarctic craton, the extension of Proterozoic belts of southwest Laurentia to East Antarctica, and appears consistent with the Australia-western United States (AUSWUS) model. This tectonic setting envisages a near-local source for the ubiquitous Grenville-age detrital zircon population in marginal Neoproterozoic to early Paleozoic Gondwanan sequences and suggests a possible direct source for the widespread Grenville-age inherited zircon component observed in most Paleozoic granites in northern Victoria Land (Antarctica) and east Tasmania (Australia).</t>
  </si>
  <si>
    <t>Ist Geosci &amp; Georisorse, CNR, I-35137 Padua, Italy; Geosci Australia, Minerals Div, Canberra, ACT 2601, Australia; Univ Adelaide, Dept Geol &amp; Geophys, Adelaide, SA 5005, Australia; Univ Padua, Dipartimento Mineral &amp; Petrol, I-35137 Padua, Italy</t>
  </si>
  <si>
    <t>Consiglio Nazionale delle Ricerche (CNR); Istituto di Geoscienze e Georisorse (IGG-CNR); Geoscience Australia; University of Adelaide; University of Padua</t>
  </si>
  <si>
    <t>Ist Geosci &amp; Georisorse, CNR, Corso Garibaldi 37, I-35137 Padua, Italy.</t>
  </si>
  <si>
    <t>Foden, John/0000-0003-3564-7253; VISONA', DARIO/0000-0002-6938-1038</t>
  </si>
  <si>
    <t>10.1130/G21671.1</t>
  </si>
  <si>
    <t>969RM</t>
  </si>
  <si>
    <t>WOS:000232252400003</t>
  </si>
  <si>
    <t>Le Roux, PC; McGeoch, MA; Nyakatya, MJ; Chown, SL</t>
  </si>
  <si>
    <t>Effects of a short-term climate change experiment on a sub-Antarctic keystone plant species</t>
  </si>
  <si>
    <t>azorella selago; cloche; cushion plant; epiphyte; fellfield; Marion Island; rainout shelter; shading</t>
  </si>
  <si>
    <t>UV-B RADIATION; MARION-ISLAND; KERGUELEN ISLANDS; AZORELLA-SELAGO; RESPONSES; GROWTH; TUNDRA; VEGETATION; ECOSYSTEM; HISTORY</t>
  </si>
  <si>
    <t>The cushion plant Azorella selago is widespread across the sub-Antarctic, and is considered a keystone species in the dominant fellfield vegetation. However, the impact of current changes in climate in the region (increasing temperature and declining rainfall) on this species is unknown. Here, the response of A. selago to reduced rainfall (a direct effect of climate change) and increased shading (a predicted indirect effect of increasing temperatures, via enhanced growth and wider distribution of more responsive competitors and epiphytes) was experimentally determined. Reduced rainfall increased stem mortality and accelerated autumnal senescence. Furthermore, under this treatment senescence was unequally distributed across individual plants, hypothesized to be a consequence of an interactive effect between rainfall and wind patterns. Shaded stems grew more, and carried larger leaves with lower trichome densities, than their exposed equivalents. As a result, shaded plants were less compact and their surface integrity reduced. The species' response to combined drying and shading was generally similar to its response to shading alone, suggesting that, at least over the short term, the indirect effects of climate change could be more severe than the direct effects. Thus, despite the species' slow growth rate and the short duration of the experiment, persistent direct and indirect effects were observed, both with potential longer-term consequences for A. selago populations. Climate change is, therefore, likely to impact negatively on this long-lived keystone species, with significant implications for the structure and functioning of fellfield systems.</t>
  </si>
  <si>
    <t>Univ Stellenbosch, Dept Entomol, Spatial Physiol &amp; Conservat Ecol Grp, ZA-7602 Matieland, South Africa; Univ Stellenbosch, Dept Conservat Ecol, Spatial Physiol &amp; Conservat Ecol Grp, ZA-7602 Matieland, South Africa; Univ Stellenbosch, Dept Bot &amp; Zool, ZA-7602 Matieland, South Africa</t>
  </si>
  <si>
    <t>Stellenbosch University; Stellenbosch University; Stellenbosch University</t>
  </si>
  <si>
    <t>Univ Stellenbosch, Dept Entomol, Spatial Physiol &amp; Conservat Ecol Grp, Private Bag 11, ZA-7602 Matieland, South Africa.</t>
  </si>
  <si>
    <t>mcgeoch@sun.ac.za</t>
  </si>
  <si>
    <t>Chown, Steven/ABD-7646-2021; le Roux, Peter Christiaan/E-7784-2011; McGeoch, Melodie/F-8353-2011; Chown, Steven/H-3347-2011</t>
  </si>
  <si>
    <t>le Roux, Peter Christiaan/0000-0002-7941-7444; McGeoch, Melodie/0000-0003-3388-2241; Chown, Steven/0000-0001-6069-5105</t>
  </si>
  <si>
    <t>10.1111/j.1365-2486.2005.001022.x</t>
  </si>
  <si>
    <t>971ND</t>
  </si>
  <si>
    <t>WOS:000232390200007</t>
  </si>
  <si>
    <t>Lipps, JH; Rieboldt, S</t>
  </si>
  <si>
    <t>Habitats and taphonomy of Europa</t>
  </si>
  <si>
    <t>ICARUS</t>
  </si>
  <si>
    <t>Workshop on Europas Icy Shell</t>
  </si>
  <si>
    <t>FEB 06-08, 2004</t>
  </si>
  <si>
    <t>Lunar &amp; Planetary Inst, Houston, TX</t>
  </si>
  <si>
    <t>Lunar &amp; Planetary Inst</t>
  </si>
  <si>
    <t>Europa; astrobiology; habitats; taphonomy; exploration</t>
  </si>
  <si>
    <t>ANTARCTIC SEA-ICE; SUBSURFACE OCEAN; IMPACT CRATER; LAKE VOSTOK; LIFE; ENERGY; ORGANISMS; SURFACE; SHELF; COMMUNITIES</t>
  </si>
  <si>
    <t>Jupiter's moon Europa possesses an icy shell kilometers thick that may overlie a briny ocean. The inferred presence of water, tidal and volcanic energy, and nutrients suggests that Europa is potentially inhabited by some kind of life; indeed Europa is a primary target in the search for life in the Solar System although no evidence yet exists for any kind of life. The thickness of the icy crust would impose limits on life, but at least 15 broad kinds of habitats seem possible for Europa. They include several on the sea floor, at least 3 in the water column, and many in the ice itself. All of these habitats are in, or could be transported to, the icy shell where they could be exposed by geologic activity or impacts so they might be explored from the surface or orbit by future planetary missions. Taphonomic processes that transport, preserve, and expose habitats include buoyant ice removing bottom habitats and sediment to the underside of the ice, water currents depositing components of water column habitats on the ice bottom, cryovolcanoes depositing water on the surface, tidal pumping bringing water column and ice habitats to the near-surface ice, and subice freezing and diapiric action incorporating water column and bottom ice habitats into the lower parts of the icy shell. The preserved habitats could be exposed at or near the surface of Europa chiefly in newly-formed ice, tilted or rotated ice blocks, ridge debris, surface deposits, fault scarps, the sides of domes and pits, and impact craters and ejecta. Future exploration of Europa for life must consider careful targeting of sites where habitats are most likely preserved or exist close to the surface. (c) 2005 Elsevier Inc. All rights reserved.</t>
  </si>
  <si>
    <t>Univ Calif Berkeley, Dept Integrat Biol, Berkeley, CA 94720 USA; Univ Calif Berkeley, Museum Paleontol, Berkeley, CA 94720 USA</t>
  </si>
  <si>
    <t>University of California System; University of California Berkeley; University of California System; University of California Berkeley</t>
  </si>
  <si>
    <t>Univ Calif Berkeley, Dept Integrat Biol, 3140,3060 VLSB, Berkeley, CA 94720 USA.</t>
  </si>
  <si>
    <t>jlipps@berkeley.edu; rieboldt@socrates.berkeley.edu</t>
  </si>
  <si>
    <t>Lipps, Jere/0000-0003-0592-7537</t>
  </si>
  <si>
    <t>0019-1035</t>
  </si>
  <si>
    <t>1090-2643</t>
  </si>
  <si>
    <t>Icarus</t>
  </si>
  <si>
    <t>10.1016/j.icarus.2005.04.010</t>
  </si>
  <si>
    <t>974FQ</t>
  </si>
  <si>
    <t>WOS:000232577100017</t>
  </si>
  <si>
    <t>Van de Vijver, B; Gremmen, NJM; Beyens, L</t>
  </si>
  <si>
    <t>The genus Stauroneis (Bacillariophyceae) in the Antarctic region</t>
  </si>
  <si>
    <t>JOURNAL OF BIOGEOGRAPHY</t>
  </si>
  <si>
    <t>Antarctica; diatoms; refined taxonomy; similarity index; Stauroneis; sub-Antarctic</t>
  </si>
  <si>
    <t>FRESH-WATER; DIATOM FLORA; BIOGEOGRAPHY; ISLANDS; BIODIVERSITY; ECOLOGY; LAKES</t>
  </si>
  <si>
    <t>Aim To provide a detailed biogeography of the diatom genus Stauroneis in the Antarctic and sub-Antarctic regions and to establish the biogeographical relationships between the different constituent locations to test the application of a precise and refined taxonomy in generating accurate polar biogeographies. Location The Antarctic and sub-Antarctic region comprising the islands South Georgia, Crozet, Kerguelen, Marion, Heard and the Antarctic Peninsula. Methods Diatom samples from different habitats in a large part of the sub-Antarctic and Antarctic region were investigated for their Stauroneis content. Presence/absence data were investigated using Sorensen's similarity index. An additional 500 samples from Arctic locations were used to provide a bipolar comparison. Using reliable literature data, gaps in the distribution of the Stauroneis taxa were filled. Results The Stauroneis flora of the Antarctic and sub-Antarctic regions is quite distinct from its Arctic equivalent, with only five species (out of 60) common to both areas. Within the (sub-)Antarctic group, the islands of the Indian Ocean have the most diverse Stauroneis composition, which is clearly separated from the rest of the region. The South Georgia Stauroneis composition has some affinities with the Antarctic Peninsula but the latter has far fewer species. These results are in clear contrast to older data showing no biogeographical difference between the Arctic and Antarctic regions. Main conclusions Using only a single genus, a clear biogeography of the (sub-)Antarctic region can be produced that separates the Indian Ocean islands from other sampling locations. When based on a precise taxonomy, biogeographical relationships between locations in the region become much more reliable. Contrary to previous work, there is almost no similarity in the diatom floras of the Arctic and Antarctic regions.</t>
  </si>
  <si>
    <t>Univ Antwerp, Dept Biol, Unit Polar Ecol Limnol &amp; Paleobiol, B-2020 Antwerp, Belgium; CD Diever, Data Anal Ecol, Diever, Netherlands</t>
  </si>
  <si>
    <t>University of Antwerp</t>
  </si>
  <si>
    <t>Van de Vijver, B (corresponding author), Univ Antwerp, Dept Biol, Unit Polar Ecol Limnol &amp; Paleobiol, Groenenborgerlaan 171, B-2020 Antwerp, Belgium.</t>
  </si>
  <si>
    <t>bart.vandevijver@ua.ac.be</t>
  </si>
  <si>
    <t>0305-0270</t>
  </si>
  <si>
    <t>1365-2699</t>
  </si>
  <si>
    <t>J BIOGEOGR</t>
  </si>
  <si>
    <t>J. Biogeogr.</t>
  </si>
  <si>
    <t>10.1111/j.1365-2699.2005.01325.x</t>
  </si>
  <si>
    <t>964TR</t>
  </si>
  <si>
    <t>WOS:000231904100009</t>
  </si>
  <si>
    <t>Hoskins, BJ; Hodges, KI</t>
  </si>
  <si>
    <t>A new perspective on Southern Hemisphere storm tracks</t>
  </si>
  <si>
    <t>EXTRATROPICAL CYCLONE BEHAVIOR; SEASONAL-VARIATIONS; WAVE-PACKETS; CLIMATOLOGY; CYCLOGENESIS; BLOCKING; MODEL</t>
  </si>
  <si>
    <t>A detailed view of Southern Hemisphere storm tracks is obtained based on the application of filtered variance and modern feature-tracking techniques to a wide range of 45-yr European Centre for Medium-Range Weather Forecasts (ECMWF) Re-Analysis (ERA-40) data. It has been checked that the conclusions drawn in this study are valid even if data from only the satellite era are used. The emphasis of the paper is on the winter season, but results for the four seasons are also discussed. Both upper- and lower-tropospheric fields are used. The tracking analysis focuses on systems that last longer than 2 days and are mobile (move more than 1000 km). Many of the results support previous ideas about the storm tracks, but some new insights are also obtained. In the summer there is a rather circular, strong, deep high-latitude storm track. In winter the high-latitude storm track is more asymmetric with a spiral from the Atlantic and Indian Oceans in toward Antarctica and a subtropical jet-related lower-latitude storm track over the Pacific, again tending to spiral poleward. At all times of the year, maximum storm activity in the higher-latitude storm track is in the Atlantic and Indian Ocean regions. In the winter upper troposphere, the relative importance of, and interplay between, the subtropical and subpolar storm tracks is discussed. The genesis, lysis, and growth rate of lower-tropospheric winter cyclones together lead to a vivid picture of their behavior that is summarized as a set of overlapping plates, each composed of cyclone life cycles. Systems in each plate appear to feed the genesis in the next plate through downstream development in the upper- troposphere spiral storm track. In the lee of the Andes in South America, there is cyclogenesis associated with the subtropical jet and also, poleward of this, cyclogenesis largely associated with system decay on the upslope and regeneration on the downslope. The genesis and lysis of cyclones and anticyclones have a definite spatial relationship with each other and with the Andes. At 500 hPa, their relative longitudinal positions are consistent with vortex-stretching ideas for simple flow over a large-scale mountain. Cyclonic systems near Antarctica have generally spiraled in from lower latitudes. However, cyclogenesis associated with mobile cyclones occurs around the Antarctic coast with an interesting genesis maximum over the sea ice near 150 E. The South Pacific storm track emerges clearly from the tracking as a coherent deep feature spiraling from Australia to southern South America. A feature of the summer season is the genesis of eastward-moving cyclonic systems near the tropic of Capricorn off Brazil, in the central Pacific and, to a lesser extent, off Madagascar, followed by movement along the southwest flanks of the subtropical anticyclones and contribution to the convergence zone cloud bands seen in these regions.</t>
  </si>
  <si>
    <t>Univ Reading, Environm Syst Sci Ctr, Reading RG6 6AL, Berks, England; Univ Reading, Dept Meteorol, Reading RG6 6AL, Berks, England</t>
  </si>
  <si>
    <t>University of Reading; University of Reading</t>
  </si>
  <si>
    <t>Univ Reading, Environm Syst Sci Ctr, Harry Pitt Bldg,3 Earley Gate,Whiteknights,POB 23, Reading RG6 6AL, Berks, England.</t>
  </si>
  <si>
    <t>kih@mail.nerc-essc.ac.uk</t>
  </si>
  <si>
    <t>10.1175/JCLI3570.1</t>
  </si>
  <si>
    <t>984KB</t>
  </si>
  <si>
    <t>WOS:000233301300002</t>
  </si>
  <si>
    <t>Town, MS; Walden, VP; Warren, SG</t>
  </si>
  <si>
    <t>Spectral and broadband longwave downwelling radiative fluxes, cloud radiative forcing, and fractional cloud cover over the South Pole</t>
  </si>
  <si>
    <t>EMITTED RADIANCE INTERFEROMETER; ANTARCTIC PLATEAU; IRRADIANCE UNCERTAINTY; ATMOSPHERIC FLUXES; TRANSFER MODEL; COOLING RATES; WATER-VAPOR; CLEAR-SKY; PART II; CLIMATE</t>
  </si>
  <si>
    <t>Annual cycles of downwelling broadband infrared radiative flux and spectral downwelling infrared flux were determined using data collected at the South Pole during 2001. Clear-sky conditions are identified by comparing radiance ratios of observed and simulated spectra. Clear-sky fluxes are in the range of 110-125 W m(-2) during summer (December-January) and 60-80 W m(-2) during winter (April-September). The variability is due to day-to-day variations in temperature, strength of the surface-based temperature inversion, atmospheric humidity, and the presence of diamond dust (near-surface ice crystals). The persistent presence of diamond dust under clear skies during the winter is evident in monthly averages of clear-sky radiance. About two-thirds of the clear-sky flux is due to water vapor, and one-third is due to CO2, both in summer and winter. The seasonal constancy of this approximately 2: 1 ratio is investigated through radiative transfer modeling. Precipitable water vapor (PWV) amounts were calculated to investigate the H2O/CO2 flux ratio. Monthly mean PWV during 2001 varied from 1.6 mm during summer to 0.4 mm during winter. Earlier published estimates of PWV at the South Pole are similar for winter, but are 50% lower for summer. Possible reasons for low earlier estimates of summertime PWV are that they are based either on inaccurate hygristor technology or on an invalid assumption that the humidity was limited by saturation with respect to ice. The average fractional cloud cover derived from the spectral infrared data is consistent with visual observations in summer. However, the wintertime average is 0.3-0.5 greater than that obtained from visual observations. The annual mean of longwave downwelling cloud radiative forcing (LDCRF) for 2001 is about 23W m(-2) with no apparent seasonal cycle. This is about half that of the global mean LDCRF; the low value is attributed to the small optical depths and low temperatures of Antarctic clouds.</t>
  </si>
  <si>
    <t>Univ Washington, Dept Atmospher Sci, Seattle, WA 98195 USA; Univ Idaho, Dept Geog, Moscow, ID 83843 USA</t>
  </si>
  <si>
    <t>University of Washington; University of Washington Seattle; Idaho; University of Idaho</t>
  </si>
  <si>
    <t>Univ Washington, Dept Atmospher Sci, Box 351640, Seattle, WA 98195 USA.</t>
  </si>
  <si>
    <t>mstown@atmos.washington.edu</t>
  </si>
  <si>
    <t>10.1175/JCLI3525.1</t>
  </si>
  <si>
    <t>WOS:000233301300009</t>
  </si>
  <si>
    <t>Thamban, M; Naik, SS; Mohan, R; Rajakumar, A; Basavaiah, N; D'Souza, W; Kerkar, S; Subramaniam, MM; Sudhakar, M; Pandey, PC</t>
  </si>
  <si>
    <t>Changes in the source and transport mechanism of terrigenous input to the Indian sector of Southern Ocean during the late Quaternary and its palaeoceanographic implications</t>
  </si>
  <si>
    <t>JOURNAL OF EARTH SYSTEM SCIENCE</t>
  </si>
  <si>
    <t>magnetic susceptibility; terrigenous flux; late Quaternary; Southern Ocean.</t>
  </si>
  <si>
    <t>CIRCULATION; MAXIMUM; HISTORY</t>
  </si>
  <si>
    <t>Changes in the terrigenous sediment source and transport mechanisms during the late Quaternary have been investigated using four sediment cores within the Indian sector of Southern Ocean, using the magnetic susceptibility (MS) and sedimentological records. Sediments deposited during the Holocene and other interglacial. periods were characterised by low MS, low sand content, reduced ice-rafted detritus (IRD) input and increased illite possibly transported via hydrographic advection from the south. The glacial intervals are characterised by high MS, high sand content, increased IRD input and reduced illite clays, derived from both local as well as Antarctic sources. Significant reduction in clay fraction and illite content during glacials suggests that the erosive and transporting capabilities of the deep and bottom waters could have reduced compared to the interglacial times. The changes in terrigenous influx to this region were significantly influenced by the rhythmic glacial-interglacial fluctuations in bottom circulation and the position of the Polar Front.</t>
  </si>
  <si>
    <t>Natl Ctr Antarct &amp; Ocean Res, Goa 403804, India; Indian Inst Geomagnet, Bombay 410218, Maharashtra, India</t>
  </si>
  <si>
    <t>Ministry of Earth Sciences (MoES) - India; National Centre for Polar and Ocean Research (NCPOR); Department of Science &amp; Technology (India); Indian Institute of Geomagnetism (IIG)</t>
  </si>
  <si>
    <t>Thamban, M (corresponding author), Natl Ctr Antarct &amp; Ocean Res, Goa 403804, India.</t>
  </si>
  <si>
    <t>Naik, Sushant/B-3512-2011</t>
  </si>
  <si>
    <t>Thamban, Meloth/0000-0003-3379-8189</t>
  </si>
  <si>
    <t>2347-4327</t>
  </si>
  <si>
    <t>0973-774X</t>
  </si>
  <si>
    <t>J EARTH SYST SCI</t>
  </si>
  <si>
    <t>J. Earth Syst. Sci.</t>
  </si>
  <si>
    <t>10.1007/BF02702021</t>
  </si>
  <si>
    <t>Geosciences, Multidisciplinary; Multidisciplinary Sciences</t>
  </si>
  <si>
    <t>Geology; Science &amp; Technology - Other Topics</t>
  </si>
  <si>
    <t>975ZO</t>
  </si>
  <si>
    <t>WOS:000232702800001</t>
  </si>
  <si>
    <t>Huber, BT; Quillévére, F</t>
  </si>
  <si>
    <t>Revised Paleogene planktonic foraminiferal biozonation for the Austral Realm</t>
  </si>
  <si>
    <t>JOURNAL OF FORAMINIFERAL RESEARCH</t>
  </si>
  <si>
    <t>EOCENE-OLIGOCENE; STABLE-ISOTOPE; INDIAN-OCEAN; MAUD RISE; PALEOCENE; MAGNETOBIOCHRONOLOGY; BIOSTRATIGRAPHY; STRATIGRAPHY; SITE-690; BOUNDARY</t>
  </si>
  <si>
    <t>A major revision to the Antarctic Paleogene planktonic foraminifer biozonation is presented using the latest species concepts and biostratigraphic studies of Ocean Drilling Program (ODP) sites located between 52 degrees S and 65 degrees S paleolatitude in the southern South Atlantic and southern Indian Oceans. Shorthand prefixes for the Antarctic Paleogene zones are designated as AP zones for the Antarctic Paleocene, AE zones for the Antarctic Eocene, and AO zones for the Antarctic Oligocene. New numerical ages for Paleogene planktonic foraminiferal and calcareous nannofossil first- and last-occurrence events are estimated using new age-depth curves constructed for ODP Sites 738 and 744 in the southern Indian Ocean. The order and timing of these events are compared with bio-, magneto- and chemostratigraphic datums that have been recently published, reinterpreted, or observed in the present study. The revised zonal framework and age models will improve correlation of Paleogene planktonic foraminifer pelagic and hemipelagic carbonate sequences within and outside the Austral Realm.</t>
  </si>
  <si>
    <t>Smithsonian Museum Nat Hist, Washington, DC 20013 USA; Univ Lyon 1, CNRS, UMR 5125, Lab Paleoenvironm &amp; PaleobioSphere, F-69622 Villeurbanne, France</t>
  </si>
  <si>
    <t>Smithsonian Institution; Smithsonian National Museum of Natural History; Centre National de la Recherche Scientifique (CNRS); Universite Claude Bernard Lyon 1</t>
  </si>
  <si>
    <t>Smithsonian Museum Nat Hist, Washington, DC 20013 USA.</t>
  </si>
  <si>
    <t>huberb@si.edu; frederic.quillevere@univ-lyon1.fr</t>
  </si>
  <si>
    <t>Quillévéré, Frédéric/C-8317-2012</t>
  </si>
  <si>
    <t>Quillevere, Frederic/0000-0002-6248-0447</t>
  </si>
  <si>
    <t>CUSHMAN FOUNDATION FORAMINIFERAL RESEARCH</t>
  </si>
  <si>
    <t>PO BOX 7065, LAWRENCE, KS 66044-7065 USA</t>
  </si>
  <si>
    <t>0096-1191</t>
  </si>
  <si>
    <t>J FORAMIN RES</t>
  </si>
  <si>
    <t>J. Foraminifer. Res.</t>
  </si>
  <si>
    <t>10.2113/35.4.299</t>
  </si>
  <si>
    <t>991RW</t>
  </si>
  <si>
    <t>WOS:000233832400002</t>
  </si>
  <si>
    <t>Choi, SD; Chang, YS</t>
  </si>
  <si>
    <t>Choi, Sung-Deuk; Chang, Yoon-Seok</t>
  </si>
  <si>
    <t>Air Monitoring of Persistent Organic Pollutants Using Passive Air Samplers</t>
  </si>
  <si>
    <t>JOURNAL OF KOREAN SOCIETY FOR ATMOSPHERIC ENVIRONMENT</t>
  </si>
  <si>
    <t>Korean</t>
  </si>
  <si>
    <t>Passive air sampler (PAS); Persistent organic pollutants (POPs); Air monitoring</t>
  </si>
  <si>
    <t>SEMIPERMEABLE-MEMBRANE DEVICES; POLYCYCLIC AROMATIC-HYDROCARBONS; ORGANOCHLORINE PESTICIDES; POLYCHLORINATED-BIPHENYLS; ATMOSPHERIC DISTRIBUTION; SPATIAL-DISTRIBUTION; TEMPORAL TRENDS; CONTAMINANTS; SPMDS; PCBS</t>
  </si>
  <si>
    <t>The monitoring of persistent organic pollutants (POPs) in the atmosphere is a basis for the study of the fate of POPs in multimedia environments. Recently, passive air samplers (PASs) for POPs have been developed. In this paper, we deal with the principle, properties, and applications of the PAS. The principle of PAS, which has no pump, is physical sorption of semi volatile organic chemicals on various sorbent materials. The PAS is much smaller than a high volume air sampler and does not need electricity. These properties of the PAS make it possible to conduct various scaled environmental monitoring all over the world including the Arctic and Antarctic, but the major disadvantage of PAS is its long sampling periods up to 2 years. To date, four kinds of PAS have been developed: polyurethane foam (PUF), polymer coated glass (POG), semi permeable membrane devices (SPMDs), and XAD resin based PAS. Among them, SPMDs have been commercialized and are most widely used now. Meanwhile, the POPs emitted from China have a large potential to influence the levels and fates of POPs in Korea. Since characteristics of PAS are quite useful to monitor long range transport of POPs, the use of PAS is highly recommended.</t>
  </si>
  <si>
    <t>[Choi, Sung-Deuk; Chang, Yoon-Seok] Pohang Univ Sci &amp; Technol, Sch Environm Sci &amp; Engn, Pohang, South Korea</t>
  </si>
  <si>
    <t>Pohang University of Science &amp; Technology (POSTECH)</t>
  </si>
  <si>
    <t>Chang, YS (corresponding author), Pohang Univ Sci &amp; Technol, Sch Environm Sci &amp; Engn, Pohang, South Korea.</t>
  </si>
  <si>
    <t>yschang@postech.ac.kr</t>
  </si>
  <si>
    <t>Choi, Sung-Deuk/F-4827-2010</t>
  </si>
  <si>
    <t>KOREAN SOC ATMOSPHERIC ENVIRONMENT</t>
  </si>
  <si>
    <t>KOREAN SOC ATMOSPHERIC ENVIRONMENT, SEOUL, 00000, SOUTH KOREA</t>
  </si>
  <si>
    <t>1598-7132</t>
  </si>
  <si>
    <t>2383-5346</t>
  </si>
  <si>
    <t>J KOREAN SOC ATMOS E</t>
  </si>
  <si>
    <t>J. Korean Soc. Atmos. Environ.</t>
  </si>
  <si>
    <t>VA6LW</t>
  </si>
  <si>
    <t>WOS:000410189100001</t>
  </si>
  <si>
    <t>Lazarus, D; Faust, K; Popova-Goll, I</t>
  </si>
  <si>
    <t>New species of prunoid radiolarians from the Antarctic Neogene</t>
  </si>
  <si>
    <t>JOURNAL OF MICROPALAEONTOLOGY</t>
  </si>
  <si>
    <t>Southern Ocean; plankton; taxonomy; stratigraphy; Miocene</t>
  </si>
  <si>
    <t>Radiolarians with 'prunoid' morphologies (here defined as spurnellarians with distinct external, generally ellipsoidal shells, usually bearing a pylome and having a lithelid, pylonid or spongy internal structure) are very common in polar Neogene sediments. Use of these taxa would improve resolution in Antarctic Neogene biostratigraphic and palaeoceanographic studies significantly, but the taxonomy of prunoids is poorly known. This paper reviews the existing literature of generic names commonly used for prunoids, mostly dating from the nineteenth century. With the exception of Larcopyle Dreyer 1889, these names are either assigned to other, non-prunoid groups or are considered to be nomina dubia. Fourteen species, subspecies or varieties - most of them new - of Larcopyle from Antarctic Neogene sediments are described, illustrated with full plates and stratigraphic range data are provided: L. augusti n. sp., L. buetschlii Dreyer, 1889, L. eccentricum n. sp., L. hayesi Chen, 1975 hayesi n. variety, L. h. irregularis n. variety, L. labryinthusa n. sp., L. nebulum n. sp., L. peregrinator n. sp., L. polyacantha (Campbell &amp; Clark 1944) n. comb. polyacantha n. subsp., L. p. titan n. subsp., L. p. aniplissima n. subsp., L. titan (Campbell &amp; Clark, 1944) n. comb., L. pylomaticus (Riedel, 1958) n. comb. and L. weddellium n. sp. J. Micropalaeontol. 24(2): 97-121, October 2005.</t>
  </si>
  <si>
    <t>HU, Museum Nat Kundenat, D-10115 Berlin, Germany</t>
  </si>
  <si>
    <t>Humboldt University of Berlin</t>
  </si>
  <si>
    <t>Lazarus, D (corresponding author), HU, Museum Nat Kundenat, Invalidenstr 43, D-10115 Berlin, Germany.</t>
  </si>
  <si>
    <t>david.lazarus@rz.hu-berlin.de</t>
  </si>
  <si>
    <t>Faust, Karoline/P-7578-2017</t>
  </si>
  <si>
    <t>Faust, Karoline/0000-0001-7129-2803</t>
  </si>
  <si>
    <t>0262-821X</t>
  </si>
  <si>
    <t>J MICROPALAEONTOL</t>
  </si>
  <si>
    <t>J. Micropalaentol.</t>
  </si>
  <si>
    <t>10.1144/jm.24.2.97</t>
  </si>
  <si>
    <t>975MC</t>
  </si>
  <si>
    <t>WOS:000232665600001</t>
  </si>
  <si>
    <t>Evans, RP; Fletcher, GL</t>
  </si>
  <si>
    <t>Type I antifreeze proteins: Possible origins from chorion and keratin genes in atlantic snailfish</t>
  </si>
  <si>
    <t>JOURNAL OF MOLECULAR EVOLUTION</t>
  </si>
  <si>
    <t>snailfish; type I; antifreeze; protein; liver; keratin; chorion</t>
  </si>
  <si>
    <t>ANTARCTIC NOTOTHENIOID FISH; LONGHORN SCULPIN; MYOXOCEPHALUS-OCTODECIMSPINOSIS; SKIN-TYPE; EVOLUTION; ICE; EGGS; GLYCOPROTEIN; POLYPEPTIDES; TEMPERATURE</t>
  </si>
  <si>
    <t>Type I antifreeze proteins (AFPs) are alanine-rich alpha-helical polypeptides found in some species of right-eye flounders, sculpin, and snailfish. In this study, a shorthorn sculpin skin type I cDNA clone was used to probe an Atlantic snailfish liver cDNA library in order to locate expressed genes corresponding to snailfish plasma AFPs. Clones isolated from the cDNA library had sections with substantial amino acid and nucleotide sequence similarity to snailfish type I AFPs. However, further analysis revealed that the positives were actually three different liver-expressed proteins-two were eggshell proteins, while the third was a type II keratin. We propose that a shift in reading frame could produce alanine-rich candidate AFPs with possible antifreeze activity or ice crystal modification properties. Furthermore, it is plausible that one or more of the liver-expressed proteins represent the progenitors of snailfish type I AFPs.</t>
  </si>
  <si>
    <t>Mem Univ Newfoundland, Ctr Ocean Sci, St John, NF A1C 5S7, Canada</t>
  </si>
  <si>
    <t>Evans, RP (corresponding author), Univ Alberta, Dept Biochem, Edmonton, AB T6G 2H7, Canada.</t>
  </si>
  <si>
    <t>robert.evans@ualberta.ca</t>
  </si>
  <si>
    <t>0022-2844</t>
  </si>
  <si>
    <t>J MOL EVOL</t>
  </si>
  <si>
    <t>J. Mol. Evol.</t>
  </si>
  <si>
    <t>10.1007/s00239-004-0067-y</t>
  </si>
  <si>
    <t>Biochemistry &amp; Molecular Biology; Evolutionary Biology; Genetics &amp; Heredity</t>
  </si>
  <si>
    <t>971RY</t>
  </si>
  <si>
    <t>WOS:000232403400001</t>
  </si>
  <si>
    <t>Donners, J; Drijfhout, SS; Hazeleger, W</t>
  </si>
  <si>
    <t>Water mass transformation and subduction in the South Atlantic</t>
  </si>
  <si>
    <t>AIR-SEA FLUXES; INTEROCEAN EXCHANGE; NORTH-ATLANTIC; CIRCULATION; MODEL; COMPUTATION; VENTILATION; ALGORITHMS; IMPACT; WARM</t>
  </si>
  <si>
    <t>The transformation of water masses induced by air-sea fluxes in the South Atlantic Ocean is calculated with a global ocean model, Ocean Circulation and Climate Advanced Modeling (OCCAM), and has been compared with several observational datasets. Air-sea interaction supplies buoyancy to the ocean at almost all density levels. The uncertainty of the estimates of water mass transformations is at least 10 Sv (Sv = 10(6) m(3) s(-1)), largely caused by the uncertainties in heat fluxes. Further analysis of the buoyancy budget of the mixed layer in the OCCAM model shows that diffusion extracts buoyancy from the water column at all densities. In agreement with observations, water mass formation of surface water by air-sea interaction is completely balanced by consumption from diffusion. There is a large interocean exchange with the Indian and Pacific Oceans. Intermediate water is imported from the Pacific, and light surface water is imported from the Indian Ocean. South Atlantic Central Water and denser water masses are exported to the Indian Ocean. The air-sea formation rate is only a qualitative estimate of the sum of subduction and interocean exchange. Subduction generates teleconnections between the South Atlantic and remote areas where these water masses reemerge in the mixed layer. Therefore, the subduction is analyzed with a Lagrangian trajectory analysis. Surface water obducts in the South Atlantic, while all other water masses experience net subduction. The subducted Antarctic Intermediate Water and Subantarctic Mode Water reemerge mainly in the Antarctic Circumpolar Current farther downstream. Lighter waters reemerge in the eastern tropical Atlantic. As a result, the extratropical South Atlantic has a strong link with the tropical Atlantic basin and only a weak direct link with the extratropical North Atlantic. The impact of the South Atlantic on the upper branch of the thermohaline circulation is indirect: water is significantly transformed by air-sea fluxes and mixing in the South Atlantic, but most of it reemerges and subducts again farther downstream.</t>
  </si>
  <si>
    <t>Japan Agcy Marine Earth Sci &amp; Technol, Earth Simulat Ctr, Kanazawa Ku, Yokohama, Kanagawa, Japan.</t>
  </si>
  <si>
    <t>j.donners@reading.ac.uk</t>
  </si>
  <si>
    <t>Hazeleger, Wilco/0000-0002-4566-958X; Drijfhout, Sybren/0000-0001-5325-7350</t>
  </si>
  <si>
    <t>10.1175/JPO2782.1</t>
  </si>
  <si>
    <t>988FD</t>
  </si>
  <si>
    <t>WOS:000233576400009</t>
  </si>
  <si>
    <t>Furue, R; Endoh, M</t>
  </si>
  <si>
    <t>Effects of the pacific diapycnal mixing and wind stress on the global and Pacific meridional overturning circulation</t>
  </si>
  <si>
    <t>WORLD OCEAN; THERMOHALINE CIRCULATION; SOUTHERN-OCEAN; VERTICAL DIFFUSIVITY; ADVECTION SCHEMES; NORTH PACIFIC; DRAKE PASSAGE; BOTTOM WATERS; DEEP-WATER; MODEL</t>
  </si>
  <si>
    <t>Numerical experiments are conducted using an idealized basin to investigate roles of the deep vertical diffusivity and wind stress of the Pacific Ocean in the global and Pacific meridional overturning circulation. The Pacific middepth diffusivity is found to be enhancing the global meridional overturning circulation; when this part of diffusivity is reduced to the background value, not only is the layered circulation of the Pacific greatly weakened, but also the production of the North Atlantic Deep Water (NADW) and Antarctic Bottom Water (AABW) is significantly reduced. The deeper part of the Pacific diffusivity is found to be enhancing the production of the AABW in the model. When the wind stress is turned off in the Pacific, the deep meridional overturning circulation of the Pacific is reduced and the production of the NADW and AABW is also significantly reduced. This is likely due to the reduction of the wind-enhanced upwelling in the subpolar and equatorial regions. These results suggest the importance of the diapycnal diffusion and sea surface conditions in the Pacific not only to the circulation within the Pacific but also to the global meridional overturning circulation.</t>
  </si>
  <si>
    <t>Univ Tokyo, Ctr Climate Syst Res, Tokyo, Japan</t>
  </si>
  <si>
    <t>Univ Hawaii Manoa, Sch Ocean &amp; Earth Sci &amp; Technol, IPRC, POST Bldg,4th Floor,1680 East West Rd, Honolulu, HI 96822 USA.</t>
  </si>
  <si>
    <t>furue@hawaii.edu</t>
  </si>
  <si>
    <t>10.1175/JPO2792.1</t>
  </si>
  <si>
    <t>WOS:000233576400011</t>
  </si>
  <si>
    <t>Ferreira, D; Marshall, J; Heimbach, P</t>
  </si>
  <si>
    <t>Estimating eddy stresses by fitting dynamics to observations using a residual-mean ocean circulation model and its adjoint</t>
  </si>
  <si>
    <t>BETA-PLANE CHANNEL; GENERAL-CIRCULATION; WIND-DRIVEN; TRANSPORT; EDDIES; REPRESENTATION; DIFFUSIVITY; TOPOGRAPHY; PACIFIC; CELLS</t>
  </si>
  <si>
    <t>A global ocean circulation model is formulated in terms of the residual mean and used to study eddy-mean flow interaction. Adjoint techniques are used to compute the three-dimensional eddy stress field that minimizes the departure of the coarse-resolution model from climatological observations of temperature. The resulting 3D maps of eddy stress and residual-mean circulation yield a wealth of information about the role of eddies in large-scale ocean circulation. In eddy-rich regions such as the Southern Ocean, the Kuroshio, and the Gulf Stream, eddy stresses have an amplitude comparable to the wind stress, of order 0.2 N m(-2), and carry momentum from the surface down to the bottom, where they are balanced by mountain form drag. From the optimized eddy stress, 3D maps of horizontal eddy diffusivity kappa are inferred. The diffusivities have a well-defined large-scale structure whose prominent features are 1) large values of kappa (up to 4000 m(2) s(-1)) in the western boundary currents and on the equatorial flank of the Antarctic Circumpolar Current and 2) a surface intensification of kappa, suggestive of a dependence on the stratification N-2. It is shown that implementation of an eddy parameterization scheme in which the eddy diffusivity has an N-2 dependence significantly improves the climatology of the ocean model state relative to that obtained using a spatially uniform diffusivity.</t>
  </si>
  <si>
    <t>MIT, Dept Earth Atmospher &amp; Planetary Sci, Room 54-1515,77 Massachusetts Ave, Cambridge, MA 02139 USA.</t>
  </si>
  <si>
    <t>dfer@mit.edu</t>
  </si>
  <si>
    <t>Ferreira, David/JNR-2354-2023; Ferreira, David/JJD-6133-2023; Heimbach, Patrick/K-3530-2013</t>
  </si>
  <si>
    <t>Heimbach, Patrick/0000-0003-3925-6161; Ferreira, David/0000-0003-3243-9774</t>
  </si>
  <si>
    <t>10.1175/JPO2785.1</t>
  </si>
  <si>
    <t>WOS:000233576400012</t>
  </si>
  <si>
    <t>Nath, BN; Parthiban, G; Banaulikar, S; Sarkar, S</t>
  </si>
  <si>
    <t>Alterations in geochemical associations in artificially disturbed deep-sea sediments</t>
  </si>
  <si>
    <t>MARINE GEORESOURCES &amp; GEOTECHNOLOGY</t>
  </si>
  <si>
    <t>manganese nodule mining; artificial benthic disturbance experiment; environmental impact assessment; metals</t>
  </si>
  <si>
    <t>CENTRAL INDIAN BASIN; EARLY DIAGENETIC PROCESSES; RARE-EARTH-ELEMENTS; BENTHIC DISTURBANCE; BIOGENIC SEDIMENT; SURFACE SEDIMENTS; MARINE-SEDIMENTS; OCEAN SEDIMENTS; EXCESS ALUMINUM; WATER INTERFACE</t>
  </si>
  <si>
    <t>In view of the role of sediment geochemistry in regulating the benthic ecosystem, diagenetic remobilization of dissolved constituents, bottom water redox, and regeneration of benthic fluxes, surficial sediments in and around the track disturbed by a benthic disturber'' were studied for metal variation in three phases: (1) before the disturbance, (2) immediately after the disturbance, and (3) during monitoring of restoration after similar to 44 months, from the same locations. Minor variations in metal concentrations before the disturbance were noticed indicating the homogeneity in the area or supply from similar source areas. Terrigenous fraction determined normatively from titanium contents in these sediments ranges between 40 and 47%. Most of the elements analyzed showed reduced average concentrations immediately after the disturbance suggesting physical removal and resedimentation in other areas with the migration of the plume. All the elements showed positive relation and coherence in the sediments collected after the disturbance, irrespective of their susceptibility to changes in provenance and depositional environment, whereas elemental associations during the predisturbance and monitoring periods can be explained by the known geochemical processes. The changes in Al, Ti, excess aluminium contents, their interelement relations, and factor analyses, suggest the possible transformation of clay mineral type due to the benthic disturbance that would involve changes in surface chemistry of clays. Interelement relations among redox-sensitive elements have also changed with time. This includes decoupling of Co from Mn after 44 months, probably due to the varying oxidation kinetics of two major oxides, Fe and Mn. Model calculations suggest increased diagenetic remobilization rates of Mn during the monitoring phase. Substantial increase in redox-sensitive elements, especially Fe and Mn indicate oxygenation of bottom water due either to reduced activity of benthic burrowing organisms or to renewal of oxygen-rich Antarctic Bottom water (AABW). Increase in these elements is consistent with the results of the HEBBLE experiment, where the burrows seem to protect these elements from strong bottom currents. Restoration of predisturbance values in the terrigenous component is attributed to the influence of shifts in the direction of bottom flow and suggests that bottom currents would play a major role in restoring the lithogenic component by transporting it from other locations within the Basin during commercial mining operations.</t>
  </si>
  <si>
    <t>Natl Inst Oceanog, Panaji 403004, Goa, India; Indian Inst Technol, Dept Geol &amp; Geophys, Kharagpur 721302, W Bengal, India</t>
  </si>
  <si>
    <t>Council of Scientific &amp; Industrial Research (CSIR) - India; CSIR - National Institute of Oceanography (NIO); Indian Institute of Technology System (IIT System); Indian Institute of Technology (IIT) - Kharagpur</t>
  </si>
  <si>
    <t>Natl Inst Oceanog, Panaji 403004, Goa, India.</t>
  </si>
  <si>
    <t>nagender@nio.org</t>
  </si>
  <si>
    <t>1064-119X</t>
  </si>
  <si>
    <t>1521-0618</t>
  </si>
  <si>
    <t>MAR GEORESOUR GEOTEC</t>
  </si>
  <si>
    <t>Mar. Geores. Geotechnol.</t>
  </si>
  <si>
    <t>OCT-DEC</t>
  </si>
  <si>
    <t>10.1080/10641190500446789</t>
  </si>
  <si>
    <t>Engineering, Ocean; Engineering, Geological; Oceanography; Mining &amp; Mineral Processing</t>
  </si>
  <si>
    <t>Engineering; Oceanography; Mining &amp; Mineral Processing</t>
  </si>
  <si>
    <t>996BX</t>
  </si>
  <si>
    <t>WOS:000234150500009</t>
  </si>
  <si>
    <t>Gales, N; Barnes, J; Chittick, B; Gray, M; Robinson, S; Burns, J; Costa, D</t>
  </si>
  <si>
    <t>Effective, field-based inhalation anesthesia for ice seals</t>
  </si>
  <si>
    <t>crabeater seal; Lobodon carcinophaga; anesthesia; gas anesthesia</t>
  </si>
  <si>
    <t>SOUTHERN ELEPHANT SEALS; CRAB-EATER SEALS; LOBODON-CARCINOPHAGUS; WEDDELL SEALS; IMMOBILIZATION; ISOFLURANE; DIAZEPAM; KETAMINE; SAFE; COMBINATION</t>
  </si>
  <si>
    <t>Thirty five adult crabeater seals (Lobodon carcinophaga) were anesthetized with combinations of the sedative midazolam and the gaseous anesthetic isoflurane during three research cruises to the Antarctic Peninsula (similar to 67 degrees S, 67 degrees W) in the austral winters of 2001 and 2002. Modifications were required to gas anesthetic equipment to achieve field portability and sufficient heating to allow operations in temperatures as low as -20 degrees C. Seals were sedated with an average intramuscular dose of midazolam of 0.55 +/- 0.14 mg/kg delivered via a pole syringe (n = 32). One seal was not given midazolam and two seals were injected intravenously. Premedication with midazolam provided moderate sedation, making capture and masking practical and safe. Mean induction time with isoflurane was 8 +/- 4.8 min. Mean maintenance concentration over the anesthetic period were 2.3% +/- 0.9% of isoflurane. Average recovery time was 18.2 +/- 8.8 min. No substantial difficulties were experienced and anesthetics were easily managed. This drug combination and the use of modified, heated equipment provide an effective anesthetic procedure for crabeater seals.</t>
  </si>
  <si>
    <t>Australian Antarctic Div, Kingston, Tas 7050, Australia; Vet &amp; Quarantine Ctr, Mosman, NSW 2088, Australia; SeaWorld Orlando, Orlando, FL 32821 USA; Alaska Sea Life Ctr, Seward, AK 99664 USA; Australian Antarctic Div, Kingston, Tas 7050, Australia; Univ Alaska, Dept Biol Sci, Anchorage, AK 99508 USA; Univ Calif Santa Cruz, Dept Ecol &amp; Evolutionary Biol, Santa Cruz, CA 95060 USA</t>
  </si>
  <si>
    <t>Australian Antarctic Division; Australian Antarctic Division; University of Alaska System; University of Alaska Anchorage; University of California System; University of California Santa Cruz</t>
  </si>
  <si>
    <t>Gales, N (corresponding author), Australian Antarctic Div, Channel Highway, Kingston, Tas 7050, Australia.</t>
  </si>
  <si>
    <t>nick.gales@aad.gov.au</t>
  </si>
  <si>
    <t>Burns, Jennifer M/C-4159-2013; Burns, Jennifer/AAC-8243-2019; Costa, Daniel Paul/E-2616-2013</t>
  </si>
  <si>
    <t>Burns, Jennifer/0000-0001-9652-2943; Costa, Daniel Paul/0000-0002-0233-5782</t>
  </si>
  <si>
    <t>10.1111/j.1748-7692.2005.tb01261.x</t>
  </si>
  <si>
    <t>970IB</t>
  </si>
  <si>
    <t>WOS:000232297400009</t>
  </si>
  <si>
    <t>Sea ice may be on increase in the Antarctic</t>
  </si>
  <si>
    <t>MARINE POLLUTION BULLETIN</t>
  </si>
  <si>
    <t>0025-326X</t>
  </si>
  <si>
    <t>1879-3363</t>
  </si>
  <si>
    <t>MAR POLLUT BULL</t>
  </si>
  <si>
    <t>Mar. Pollut. Bull.</t>
  </si>
  <si>
    <t>Environmental Sciences; Marine &amp; Freshwater Biology</t>
  </si>
  <si>
    <t>978HN</t>
  </si>
  <si>
    <t>WOS:000232864300012</t>
  </si>
  <si>
    <t>Siegmund, P; van Velthoven, P</t>
  </si>
  <si>
    <t>To what extent can the 2002 Antarctic major stratospheric warming be explained by horizontal advection of the vortex from the pole?</t>
  </si>
  <si>
    <t>METEOROLOGY AND ATMOSPHERIC PHYSICS</t>
  </si>
  <si>
    <t>DIAGNOSTICS</t>
  </si>
  <si>
    <t>The importance of horizontal and vertical advection of temperature for the Antarctic major stratospheric warming in September 2002 has been investigated, by applying the thermodynamic energy equation to ECMWF temperature and wind data. The analysis, which is carried out for the one-week period 19-26 September, shows that the large temperature increase in this period in the polar stratosphere is mainly due to horizontal advection of temperature. In addition, it has been investigated to what extent the observed temperature increase, as well as the change in the zonal wind, can be simulated with a simple conceptual model of a moving polar vortex. The model consists of a horizontal, circular vortex whose centre moves with constant meridional velocity off from the South Pole. The temperature and zonal wind fields are prescribed, stationary and zonally symmetric (relative to the vortex centre). Despite its simplicity, the model simulates several important aspects of the observations, such as the zonal-mean temperature increase and zonal-mean zonal wind reversal poleward of 60 degrees S, and the zonal-mean temperature decrease at middle latitudes.</t>
  </si>
  <si>
    <t>Royal Netherlands Meteorol Inst KNMI, NL-3730 De Bilt, Netherlands</t>
  </si>
  <si>
    <t>Siegmund, P (corresponding author), Royal Netherlands Meteorol Inst KNMI, POB 201, NL-3730 De Bilt, Netherlands.</t>
  </si>
  <si>
    <t>siegmund@knmi.nl</t>
  </si>
  <si>
    <t>SPRINGER WIEN</t>
  </si>
  <si>
    <t>WIEN</t>
  </si>
  <si>
    <t>SACHSENPLATZ 4-6, PO BOX 89, A-1201 WIEN, AUSTRIA</t>
  </si>
  <si>
    <t>0177-7971</t>
  </si>
  <si>
    <t>1436-5065</t>
  </si>
  <si>
    <t>METEOROL ATMOS PHYS</t>
  </si>
  <si>
    <t>Meteorol. Atmos. Phys.</t>
  </si>
  <si>
    <t>10.1007/s00703-004-0085-8</t>
  </si>
  <si>
    <t>977HR</t>
  </si>
  <si>
    <t>WOS:000232794500004</t>
  </si>
  <si>
    <t>Pearce, DA; van der Gast, CJ; Woodward, K; Newsham, KK</t>
  </si>
  <si>
    <t>Significant changes in the bacterioplankton community structure of a maritime Antarctic freshwater lake following nutrient enrichment</t>
  </si>
  <si>
    <t>MICROBIOLOGY-SGM</t>
  </si>
  <si>
    <t>16S RIBOSOMAL-RNA; TEMPORAL PLANKTON DYNAMICS; SOUTH-ORKNEY ISLANDS; GENE-SEQUENCES; SIGNY ISLAND; BACTERIAL-POPULATIONS; TROPHIC STATUS; SP-NOV; DIVERSITY; PHYTOPLANKTON</t>
  </si>
  <si>
    <t>Nutrient enrichment is known to increase bacterioplankton population density in a variety of Antarctic freshwater lakes. However, relatively little is known about the associated changes in species composition. In this study, the bacterioplankton community composition of one such lake was studied following natural nutrient enrichment to investigate the resistance of the system to environmental change. Heywood Lake is an enriched freshwater maritime Antarctic lake, with nitrogen and phosphorus concentrations significantly higher than its more oligotrophic neighbours (by at least an order of magnitude). This major change in lake chemistry has occurred following large increases in the fur seal population over the last 30 years. Using analysis of 16S rRNA gene fragments, fatty acid methyl ester analysis, denaturing gradient gel electrophoresis and fluorescence in situ hybridization, significant changes are reported in lake microbiology which have resulted in a distinct bacterioplankton community. In comparison to its more oligotrophic neighbours, nutrient-enriched Heywood Lake has a high bacterioplankton population density, reduced species richness and an increasing evenness among key groups. Only 42-3% of the clones found with &gt;= 97% similarity to a named genus were also present in adjacent oligotrophic lakes, including three of the dominant groups. Critically, there was an apparent shift in dominance with trophic status (from the beta-Proteobacteria to the Actinobacteria). Other key observations included the absence of a dominant group of Cyanobacteria and the presence of marine bacteria. The significant impact of natural nutrient enrichment on the microbiology of Heywood Lake, therefore, suggests that low-temperature oligotrophic freshwater lake systems might have low resistance to environmental change.</t>
  </si>
  <si>
    <t>British Antarctic Survey, NERC, Cambridge CB3 0ET, England; Ctr Ecol &amp; Hydrol, Oxford OX1 3SR, England; Univ Aberdeen, Inst Med Sci, Dept Mol &amp; Cell Biol, Aberdeen AB25 2ZD, Scotland</t>
  </si>
  <si>
    <t>UK Research &amp; Innovation (UKRI); Natural Environment Research Council (NERC); NERC British Antarctic Survey; UK Centre for Ecology &amp; Hydrology (UKCEH); University of Aberdeen</t>
  </si>
  <si>
    <t>Pearce, DA (corresponding author), British Antarctic Survey, NERC, High Cross,Madingley Rd, Cambridge CB3 0ET, England.</t>
  </si>
  <si>
    <t>dpearce@bas.ac.uk</t>
  </si>
  <si>
    <t>van der Gast, Christopher/G-1153-2011; Newsham, Kevin K/C-4192-2011</t>
  </si>
  <si>
    <t>van der Gast, Christopher/0000-0003-1101-4048; Pearce, David/0000-0001-5292-4596</t>
  </si>
  <si>
    <t>1350-0872</t>
  </si>
  <si>
    <t>MICROBIOL-SGM</t>
  </si>
  <si>
    <t>Microbiology-(UK)</t>
  </si>
  <si>
    <t>10.1099/mic.0.27258-0</t>
  </si>
  <si>
    <t>973VS</t>
  </si>
  <si>
    <t>WOS:000232551300010</t>
  </si>
  <si>
    <t>Cherel, Y; Hobson, KA; Weimerskirch, H</t>
  </si>
  <si>
    <t>Using stable isotopes to study resource acquisition and allocation in procellariiform seabirds</t>
  </si>
  <si>
    <t>OECOLOGIA</t>
  </si>
  <si>
    <t>short-tailed shearwater; myctophid; dual strategy; Antarctica</t>
  </si>
  <si>
    <t>SHORT-TAILED SHEARWATERS; TROPHIC RELATIONSHIPS; FEEDING ECOLOGY; HALOBAENA-CAERULEA; DELTA-N-15 VALUES; MYCTOPHID FISHES; ORGANIC-MATTER; ILES-KERGUELEN; FORAGING TRIPS; KING PENGUINS</t>
  </si>
  <si>
    <t>Some procellariiform seabirds use a dual strategy for provisioning their chicks by alternating short (ST) and long (LT) foraging trips. Parent birds gain mass during LT but they lose mass while increasing the chick feeding frequency during ST. Self-feeding during LT is crucial for the success of ST because firstly most of the energy used during ST is likely to be derived from the energy stored during LT and secondly self-feeding during ST is presumed to be negligible. Self-feeding by adult procellariiforms is thus a key issue to understand allocation processes but it is still poorly known. We tested these predictions by using the stable isotope (delta N-15 and delta C-13) technique on birds' plasma and prey with the short-tailed shearwater Puffinus tenuirostris breeding at Tasmania as a model. Parent shearwaters returning to the colony after a LT have an Antarctic/subantarctic delta C-13 signature in their plasma (-23.8%), thus indicating that they fed in cold waters, far away from their breeding colony, for their own maintenance. Parent birds returning to the colony after a ST also have a distant Antarctic/subantarctic delta C-13 signature in their plasma (-24.3%), thus verifying that self-feeding is negligible during ST and that birds fast at that time, using energy stores built up in cold waters. Plasma delta N-15 values of adults (8.8%) indicates they mainly prey upon zooplankton-eating organisms, probably mesopelagic myctophid fishes. A simple isotopic mixing model estimates that they consume by mass 87% myctophids and 13% subantarctic krill when self-feeding. Finally and as expected, the carbon isotopic signature of chick plasma (-22.2%) was intermediate between those of high- and low-latitude marine organisms and is thus in agreement with chicks being fed with a large diversity of prey species caught by adult birds from Antarctic to Tasmanian waters. One main consequence of this system is that reproduction of a Tasmanian species is controlled by resources available at great distances from the breeding colony that drive allocation decisions of parent birds.</t>
  </si>
  <si>
    <t>Ctr Etud Biol Chize, CNRS, UPR 1934, F-79360 Villiers En Bois, France; Environm Canada, Prairie &amp; No Wildlife Res Ctr, Saskatoon, SK S7N 0X4, Canada</t>
  </si>
  <si>
    <t>Centre National de la Recherche Scientifique (CNRS); Environment &amp; Climate Change Canada</t>
  </si>
  <si>
    <t>Ctr Etud Biol Chize, CNRS, UPR 1934, BP 14, F-79360 Villiers En Bois, France.</t>
  </si>
  <si>
    <t>cherel@cebc.cnrs.fr</t>
  </si>
  <si>
    <t>Weimerskirch, Henri/K-7306-2019; Bond, Alexander L/A-3786-2010; Hobson, Keith/Q-9306-2019; Weimerskirch, Henri/F-5562-2013</t>
  </si>
  <si>
    <t>Weimerskirch, Henri/0000-0002-0457-586X;</t>
  </si>
  <si>
    <t>0029-8549</t>
  </si>
  <si>
    <t>1432-1939</t>
  </si>
  <si>
    <t>Oecologia</t>
  </si>
  <si>
    <t>10.1007/s00442-005-0156-7</t>
  </si>
  <si>
    <t>973ZA</t>
  </si>
  <si>
    <t>WOS:000232559900003</t>
  </si>
  <si>
    <t>Villar, SEJ; Edwards, HGM; Worland, MR</t>
  </si>
  <si>
    <t>Comparative evaluation of Raman spectroscopy at different wavelengths for extremophile exemplars</t>
  </si>
  <si>
    <t>ORIGINS OF LIFE AND EVOLUTION OF BIOSPHERES</t>
  </si>
  <si>
    <t>biosignatures; extremophile; planetary exploration; Mars; Raman spectroscopy; wavelength laser excitation</t>
  </si>
  <si>
    <t>MARS; RADIATION; ECOLOGY; LIFE</t>
  </si>
  <si>
    <t>Raman spectra have been obtained for extremophiles from several geological environments; selected examples have been taken from hot and cold deserts comprising psychrophiles, thermophiles and halophiles. The purpose of this study is the assessment of the effect of the wavelength of the laser excitation on the ability to determine unique information from the Raman spectra about the specificity of detection of biomolecules produced as a result of the survival strategies adopted by organisms in extreme terrestrial environments. It was concluded that whereas FT-Raman spectroscopy at 1064 nm gave good quality results the time required to record the data was relatively large compared with other wavelengths of excitation but that better access to the CH stretching region for organic molecules was given. Shorter wavelength excitation of biomolecules in the blue-green regions of the visible spectrum using a conventional dispersive spectrometer was more rapid but very dependent upon the type of chemical compound being studied; most relevant biomolecules fluoresced at these wavelengths but carotenoids exhibited a resonance effect which resulted in an improved detection capability. Minerals and geological materials, in contrast, were best studied at these visible wavelengths. In general, the best compromise system for the excitation of the Raman spectra of both geological and biological materials was provided using a 785 urn laser coupled with a dispersive spectrometer, especially for accessing the 1800-200 cm(-1) wavenumber shift region where much of the definitive analytical information resides. This work will have conclusions relevant to the use of miniaturised Raman spectrometers for the detection of biomolecules in extraterrestrial planetary exploration.</t>
  </si>
  <si>
    <t>Univ Bradford, Bradford BD7 1DP, W Yorkshire, England; British Antarctic Survey, Cambridge CB3 0ET, England; Univ Burgos, Fac Humanidades &amp; Educ, Area Geodinam Interna, Burgos 09001, Spain; British Antarctic Survey, Cambridge CB3 0ET, England</t>
  </si>
  <si>
    <t>University of Bradford; UK Research &amp; Innovation (UKRI); Natural Environment Research Council (NERC); NERC British Antarctic Survey; Universidad de Burgos; UK Research &amp; Innovation (UKRI); Natural Environment Research Council (NERC); NERC British Antarctic Survey</t>
  </si>
  <si>
    <t>Edwards, HGM (corresponding author), Univ Bradford, Bradford BD7 1DP, W Yorkshire, England.</t>
  </si>
  <si>
    <t>h.g.m.edwards@bradford.ac.uk</t>
  </si>
  <si>
    <t>Jorge-Villar, Susana E./A-8927-2011</t>
  </si>
  <si>
    <t>Jorge-Villar, Susana E./0000-0003-1676-4438</t>
  </si>
  <si>
    <t>0169-6149</t>
  </si>
  <si>
    <t>1573-0875</t>
  </si>
  <si>
    <t>ORIGINS LIFE EVOL B</t>
  </si>
  <si>
    <t>Orig. Life Evol. Biosph.</t>
  </si>
  <si>
    <t>10.1007/s11084-005-3528-4</t>
  </si>
  <si>
    <t>014ZB</t>
  </si>
  <si>
    <t>WOS:000235520600008</t>
  </si>
  <si>
    <t>Estevez, MS; Puntarulo, S</t>
  </si>
  <si>
    <t>Nitric oxide generation upon growth of Antarctic Chlorella sp cells</t>
  </si>
  <si>
    <t>PHYSIOLOGIA PLANTARUM</t>
  </si>
  <si>
    <t>NO-CENTER-DOT; NITRATE REDUCTASE; SEED-GERMINATION; IN-VIVO; ELONGATION; SENESCENCE; SYNTHASE; PATHWAY; SMOKE</t>
  </si>
  <si>
    <t>The aim of this work was to characterize nitric oxide (NO) generation during the growth of Chlorella sp. cells. The profile of NO production was compared with that observed in Chlorella from temperate climate and Antarctic Chlamydomonas sp. A distinctive electron paramagnetic resonance (EPR) signal for the adduct MGD-Fe-NO was detected in the Antarctic Chlorella sp. cells on days 6 and 7 of growth. An assay based upon the time-dependent detection of NO by EPR was developed to assess both nitrate reductase (NR) and NO synthase (NOS)-like activities. A significant increase in both enzymatic activities was observed on day 6 of growth of Antarctic Chlorella sp. cells. However, NOS-like activity proved undetectable on day 10 of growth, while NR activity was observed until day 22 of growth. When the cultures were supplemented with N omega-nitro-L-arginine methyl ester (L-NAME) from day 0 to day 13, no growth was observed. After administration of L-NAME from day 5 to day 12, growth rate at log phase was inhibited from 0.18 +/- 0.02 (control) to 0.11 +/- 0.01 per day. Removal of L-NAME on day 12 increased the growth rate to 0.15 +/- 0.02 per day. Supplementation with S-nitroso-N-acetyl-penicillamine on day 5, in the presence of L-NAME from day 0, restored the growth rate to control values. The same profile of NO generation was observed during the growth of Antarctic Chlamydomonas sp.; however, Chlorella cells from temperate climate did not show any difference in NO generation over the growth period. The data reported here are the first observations, by employing EPR, of NO and the activity of the enzymes responsible for its generation during the growth of Antarctic photosynthetic alga.</t>
  </si>
  <si>
    <t>Univ Buenos Aires, Sch Pharm &amp; Biochem, Phys Chem PRALIB, RA-1053 Buenos Aires, DF, Argentina</t>
  </si>
  <si>
    <t>Univ Buenos Aires, Sch Pharm &amp; Biochem, Phys Chem PRALIB, RA-1053 Buenos Aires, DF, Argentina.</t>
  </si>
  <si>
    <t>0031-9317</t>
  </si>
  <si>
    <t>1399-3054</t>
  </si>
  <si>
    <t>PHYSIOL PLANTARUM</t>
  </si>
  <si>
    <t>Physiol. Plant.</t>
  </si>
  <si>
    <t>10.1111/j.1399-3054.2005.00561.x</t>
  </si>
  <si>
    <t>961QN</t>
  </si>
  <si>
    <t>WOS:000231677000005</t>
  </si>
  <si>
    <t>Piepenburg, D</t>
  </si>
  <si>
    <t>Recent research on Arctic benthos: common notions need to be revised</t>
  </si>
  <si>
    <t>NORTHEAST WATER POLYNYA; BRITTLE STARS ECHINODERMATA; DEEP-SEA FLOOR; CONTINENTAL-SHELF; ORGANIC-CARBON; PARTICLE-FLUX; CANADA BASIN; MACROBENTHIC COMMUNITIES; EPIBENTHIC MEGAFAUNA; GREENLAND SEA</t>
  </si>
  <si>
    <t>Increased public awareness of the global significance of polar regions and opening of the Russian Arctic to foreign researchers have led to a pronounced intensification of benthic research in Arctic seas. The wealth of information gathered in these efforts has markedly enhanced our knowledge on the Arctic benthos. While some scientific concepts have been corroborated by the novel findings (e.g., low endemism and high faunistic affinity to northern Atlantic assemblages), other common notions need to be revised, particularly with regard to the often-cited differences between Arctic seas and the Southern Ocean. It has been demonstrated that benthos assemblages vary broadly in diversity between Arctic regions and that, hence, the idea of a consistently poor Arctic benthos-being in stark contrast to the rich Antarctic bottom fauna-is an undue overgeneralization. In terms of biogeographic diversity, both Arctic and Antarctic waters seem to be characterized by intermediate species richness. Levels of disturbance-a major ecological agent known to heavily affect benthic diversity and community structure-have been assumed to be relatively high in the Arctic but exceptionally low in the Southern Ocean. The discovery of the great role of iceberg scouring in Antarctic shelf ecosystems, which has largely been overlooked in the past, calls for a reconsideration of this notion. The novel data clearly demonstrate that there are marked differences in geographical and environmental setting, impact of fluvial run-off, pelagic production regime, strength of pelago-benthic coupling and, hence, food supply to the benthos among the various Arctic seas, impeding the large-scale generalization of local and regional findings. Field evidence points to the great significance of meso-scale features in hydrography and ice cover (marginal ice zones, polynyas, and gyres) as 'hot spots' of tight pelago-benthic coupling and, hence, high benthic biomass. In contrast, the importance of terrigenic organic matter discharged to the Arctic seas through fluvial run-off as an additional food source for the benthos is still under debate. Studies on the partitioning of energy flow through benthic communities strongly suggest that megafauna has to be adequately considered in overall benthic energy budgets and models of carbon cycling, particularly in Arctic shelf systems dominated by abundant echinoderm populations. Much progress has been made in the scientific exploration of the deep ice-covered Arctic Ocean. There is now evidence that it is one order of magnitude more productive than previously thought. Therefore, the significance of shelf-basin interactions, i.e., the importance of excess organic carbon exported from productive shelves to the deep ocean, is still debated and, hence, a major topic of on-going research. Another high-priority theme of current/future projects are the ecological consequences of the rapid warming in the Arctic. Higher water temperatures, increased fluvial run-off and reduced ice cover will give rise to severe ecosystem changes, propagating through all trophic levels. It is hypothesized that there would be a shift in the relative importance of marine biota in the overall carbon and energy flux, ultimately resulting in a switch from a 'sea-ice algae-benthos' to a 'phytoplankton-zooplankton' dominance.</t>
  </si>
  <si>
    <t>Univ Kiel, Inst Polarokol, Akad Wissensch &amp; Lit Mainz, D-24146 Kiel, Germany</t>
  </si>
  <si>
    <t>Univ Kiel, Inst Polarokol, Akad Wissensch &amp; Lit Mainz, Wischhofstr 1-3,Geb 12, D-24146 Kiel, Germany.</t>
  </si>
  <si>
    <t>dpiepenburg@ipoe.uni-kiel.de</t>
  </si>
  <si>
    <t>Piepenburg, Dieter/H-3251-2019; Piepenburg, Dieter/GQP-9916-2022</t>
  </si>
  <si>
    <t>Piepenburg, Dieter/0000-0003-3977-2860;</t>
  </si>
  <si>
    <t>10.1007/s00300-005-0013-5</t>
  </si>
  <si>
    <t>978FV</t>
  </si>
  <si>
    <t>WOS:000232859900001</t>
  </si>
  <si>
    <t>Petzel, D</t>
  </si>
  <si>
    <t>Drinking in Antarctic fishes</t>
  </si>
  <si>
    <t>RENIN-ANGIOTENSIN SYSTEM; ANGUILLA-JAPONICA; NOTOTHENIID FISHES; INTESTINAL FLUID; POLAR FISHES; TEMPERATURE; WATER; TELEOST; GILL; EEL</t>
  </si>
  <si>
    <t>Drinking rates have never been measured in Antarctic fish. Drinking rates were measured in four species of notothenioid fish, including a hemoglobinless icefish, found in the near-freezing waters of the Ross Sea of the Southern Ocean. All of the fish, with the exception of the icefish, had low drinking rates and high serum osmolalities relative to temperate seawater fish. The icefish had significantly higher drinking rates and serum osmolalities relative to the Antarctic fishes containing hemoglobin, including Trematomus bernacchii. Warm acclimation of T. bernacchii, from - 1.5 degrees C to + 4 degrees C for 4 weeks, significantly increased their drinking rates 4.6-fold, significantly decreased their serum and intestinal osmolality by 11% and 12%, respectively, relative to cold-acclimated fish. These results indicate that increased drinking rates in Antarctic fish at elevated temperatures are involved in maintaining a lower serum osmolality.</t>
  </si>
  <si>
    <t>Creighton Univ, Sch Med, Dept Biomed Sci, Omaha, NE 68178 USA</t>
  </si>
  <si>
    <t>Creighton University</t>
  </si>
  <si>
    <t>Petzel, D (corresponding author), Creighton Univ, Sch Med, Dept Biomed Sci, 2500 Calif Plaza, Omaha, NE 68178 USA.</t>
  </si>
  <si>
    <t>dpetzel@creighton.edu</t>
  </si>
  <si>
    <t>10.1007/s00300-005-0005-5</t>
  </si>
  <si>
    <t>WOS:000232859900003</t>
  </si>
  <si>
    <t>Labat, JP; Mayzaud, P; Sabini, S</t>
  </si>
  <si>
    <t>Population dynamics of Themisto gaudichaudii in Kerguelen Islands waters, Southern Indian Ocean</t>
  </si>
  <si>
    <t>population dynamics amphipod; Kerguelen Islands; Themisto gaudichaudii</t>
  </si>
  <si>
    <t>ILES-KERGUELEN; FALKLAND ISLANDS; FEEDING ECOLOGY; DIET; FOOD; MACROZOOPLANKTON; ZOOPLANKTON; SEABIRDS; ATLANTIC; PETRELS</t>
  </si>
  <si>
    <t>Fieldwork was carried out at Kerguelen Islands. Two groups of stations in a coastal area, the Morbihan gulf, were surveyed. At both stations, macroplankton biomass ranged from 2.3 mg dry weight m(-3) to 89 mg dry weight m(-3) and consisted mostly of Themisto gaudichaudii with values ranging from 1.9 mg dry weight m(-3) to 50.6 mg dry weight m(-3). Biomass was high for sub-Antarctic waters with marked seasonal and inter-zone differences. Biomass minima were observed at the end of the winter, from September to November, while maxima were recorded in summer and in early fall at the beginning of the year between January and April. T. gaudichaudii showed a recruitment of new size classes, mainly from November to January, followed by a rapid growth phase in summer, which slowed down during the southern winter period. Individuals breed after 1 year. Large individuals, older than 1 year, were not a significant presence in the gulf of Morbihan. The main pattern of the population dynamics were characterised by an univoltine life cycle with a very high biomass marked by a strong seasonal signal linked with the hydrological and trophic parameters of the Gulf.</t>
  </si>
  <si>
    <t>Univ Paris 06, CNRS, UMR 7093, Lab Oceanog Villefranche Mer, F-06234 Villefranche Sur Mer, France</t>
  </si>
  <si>
    <t>Sorbonne Universite; Centre National de la Recherche Scientifique (CNRS); CNRS - National Institute for Earth Sciences &amp; Astronomy (INSU)</t>
  </si>
  <si>
    <t>Labat, JP (corresponding author), Univ Paris 06, CNRS, UMR 7093, Lab Oceanog Villefranche Mer, BP 28, F-06234 Villefranche Sur Mer, France.</t>
  </si>
  <si>
    <t>jean-philippe.labat@obs-vlfr.fr</t>
  </si>
  <si>
    <t>10.1007/s00300-005-0003-7</t>
  </si>
  <si>
    <t>WOS:000232859900005</t>
  </si>
  <si>
    <t>Chwedorzewska, KJ; Wojtun, B; Bednarek, P</t>
  </si>
  <si>
    <t>Genetic and morphological variation of Saxifraga caespitose L. from Spitsbergen (Svalbard):: a preliminary study</t>
  </si>
  <si>
    <t>FRAGMENT LENGTH POLYMORPHISM; MARKERS; AFLP</t>
  </si>
  <si>
    <t>Saxifraga caespitose is a taxonomically difficult and poorly studied circumpolar arctic-alpine species. Two different phenotypes with distinct growth habits were collected at two shared localities in Spitsbergen. The natural genetic variation of both phenotypes was tested by AFLPs in order to investigate whether the differences at the phenothypical level are reflected at the genetic level. Low level of molecular variability between tall and short plants may suggest that the morphological variation could be due to phenotypic plasticity rather than genetic background.</t>
  </si>
  <si>
    <t>Polish Acad Sci, Dept Antarctic Biol, PL-02141 Warsaw, Poland; Univ Agr, Dept Bot &amp; Plant Ecol, PL-50205 Wroclaw, Poland; Plant Breeding &amp; Acclimatizat Inst, PL-05870 Warsaw, Radzikow, Poland</t>
  </si>
  <si>
    <t>Polish Academy of Sciences; Wroclaw University of Environmental &amp; Life Sciences; Institute of Plant Breeding &amp; Acclimatization</t>
  </si>
  <si>
    <t>Polish Acad Sci, Dept Antarctic Biol, Ustrzycka 10-12, PL-02141 Warsaw, Poland.</t>
  </si>
  <si>
    <t>kchwedorzewska@o2.pl</t>
  </si>
  <si>
    <t>Bednarek, Piotr/A-9523-2009; Chwedorzewska, Katarzyna/M-9721-2019; Chwedorzewska, Katarzyna J/A-9480-2008</t>
  </si>
  <si>
    <t>Chwedorzewska, Katarzyna/0000-0001-6860-3666; Bednarek, Piotr Tomasz/0000-0002-1553-8378; Wojtun, Bronislaw/0000-0003-1029-1078</t>
  </si>
  <si>
    <t>10.1007/s00300-005-0023-3</t>
  </si>
  <si>
    <t>WOS:000232859900008</t>
  </si>
  <si>
    <t>Mark, FC; Hirse, T; Pörtner, HO</t>
  </si>
  <si>
    <t>Thermal sensitivity of cellular energy budgets in some Antarctic fish hepatocytes</t>
  </si>
  <si>
    <t>TEMPERATURE-DEPENDENT BIOGEOGRAPHY; ATP-CONSUMING PROCESSES; PROTEIN-SYNTHESIS; RAINBOW-TROUT; OXYGEN LIMITATION; PH REGULATION; TOLERANCE; COLD; METABOLISM; ADAPTATION</t>
  </si>
  <si>
    <t>Oxygen demand elicited by the main cellular energy consumers was examined in isolated hepatocytes of sub-Antarctic (Lepidonotothen larseni) and high-Antarctic notothenioids (Trematomus eulepidotus, Trematomus pennellii, Trematomus lepidorhinus, Trematomus bernacchii, Artedidraco orianae) and in a zoarcid (Pachycara brachycephalum) fish with respect to the role of cellular metabolism in co-defining thermal tolerance. The relative proportions of energy allocated to protein and RNA/DNA synthesis, ion regulation and ATP synthesis were quantified between 0 degrees C and 15 degrees C by analysis of inhibitor sensitive cellular respiration. In all the investigated species, protein synthesis constituted 25-37%, RNA synthesis 24-35%, Na+/K+-ATPase 40-45% and mitochondrial ATP synthesis 57-65% of total respiration. The sub-Antarctic nototheniid L. larseni displayed lower cellular protein synthesis rates but somewhat higher active ion regulation activities than its high-Antarctic confamilials, as is typical for more eurythermal species. Assumed thermal optima were mirrored in minimized overall cellular energy demand. In the sub-Antarctic L. larseni and P. brachycephalum, minima of oxygen consumption were located between 3 degrees C and 6 degrees C, indicating elevated energy turnover below and above these temperatures. In contrast, the high-Antarctic species displayed progressively rising respiration rates during warming with a cellular energetic minimum at 0 degrees C. The sub-Antarctic nototheniid and the zoarcid showed signs of cold-eurythermy and appear to live close to their lower limit of thermal tolerance, while high-Antarctic notothenioids show high degrees of energetic efficiency at 0 degrees C. All cellular preparations maintained energy budgets over a wide thermal range, supporting the recent concept that thermal limits are set by oxygen and associated energy limitations at the whole organism level.</t>
  </si>
  <si>
    <t>Alfred Wegener Inst Polar &amp; Marine Res, D-27575 Bremerhaven, Germany</t>
  </si>
  <si>
    <t>Alfred Wegener Inst Polar &amp; Marine Res, Postfach 12 01 61, D-27575 Bremerhaven, Germany.</t>
  </si>
  <si>
    <t>fmark@awi-bremerhaven.de</t>
  </si>
  <si>
    <t>Mark, Felix Christopher/P-4759-2016; Pörtner, Hans-O./ISU-9397-2023; Pörtner, Hans-O./K-9429-2016</t>
  </si>
  <si>
    <t>Mark, Felix Christopher/0000-0002-5586-6704; Pörtner, Hans-O./0000-0001-6535-6575</t>
  </si>
  <si>
    <t>10.1007/s00300-005-0018-0</t>
  </si>
  <si>
    <t>984SM</t>
  </si>
  <si>
    <t>WOS:000233324600001</t>
  </si>
  <si>
    <t>Butler, H; Atkinson, A; Gordon, M</t>
  </si>
  <si>
    <t>Omnivory and predation impact of the calanoid copepod Boeckella poppei in a maritime Antarctic lake</t>
  </si>
  <si>
    <t>ACARTIA-TONSA; SIGNY ISLAND; FOOD; PHYTOPLANKTON; ZOOPLANKTON; POPULATIONS; NUTRIENTS; DYNAMICS; PROTOZOA; GROWTH</t>
  </si>
  <si>
    <t>The copepod Boeckella poppei is a major species in high latitude lakes of the Southern Hemisphere. In such lakes the reduced diversity of metazoans contrasts with a rich microbial assemblage, making these systems amenable to the study of predation controls on the microbial food web. However, the diet of B. poppei is subject to conflicting reports, with little information on feeding rates. We incubated this species in water from Sombre Lake, a much-studied maritime Antarctic Lake on the South Orkney Islands, in order to quantify its feeding rates and potential impact on the microbial assemblage. Overall, clearance rates were similar across 4 experiments spanning November 1999-March 2000, but increased with prey size over the range of 2.7-18 mu m equivalent spherical diameter (esd). B. poppei fed omnivorously, although small phototrophic flagellates comprised the bulk of the diet because of their overwhelming dominance in the incubation water. Larger motile preys-heterotrophic ciliates of similar to 18 mu m esd-were cleared fastest (mean 555 ml mg(-1) dry mass day(-1)) and at equivalent rates to those found for freshwater and marine copepods of similar size and at similar temperatures. Estimated predation impact on the microbial food web varied with the abundance of copepods; these were similar to 30-fold greater in March than in December. In March even the relatively abundant B. poppei (1.7 adults l(-1)) had a negligible impact on nanoflagellates, due to the low clearance rate on these small cells. However, in March, B. poppei adults were estimated to clear 24% of the lake water of ciliates daily. Given the generation time of ciliates (1.6 days measured in a previous summer study), and the fact that other larval stages of B. poppei were not assessed, this species has the potential to control this part of the microbial assemblage in Sombre Lake.</t>
  </si>
  <si>
    <t>British Antarctic Survey, NERC, Cambridge CB3 OET, England; Natl Environm Res Council, Swindon SN2 1EU, Wilts, England</t>
  </si>
  <si>
    <t>UK Research &amp; Innovation (UKRI); Natural Environment Research Council (NERC); NERC British Antarctic Survey; UK Research &amp; Innovation (UKRI); Natural Environment Research Council (NERC)</t>
  </si>
  <si>
    <t>British Antarctic Survey, NERC, High Cross, Cambridge CB3 OET, England.</t>
  </si>
  <si>
    <t>aat@bas.ac.uk</t>
  </si>
  <si>
    <t>Atkinson, Angus/HOH-3417-2023</t>
  </si>
  <si>
    <t>10.1007/s00300-005-0014-4</t>
  </si>
  <si>
    <t>WOS:000233324600002</t>
  </si>
  <si>
    <t>Green, TGA; Kulle, D; Pannewitz, S; Sancho, LG; Schroeter, B</t>
  </si>
  <si>
    <t>UV-A protection in mosses growing in continental Antarctica</t>
  </si>
  <si>
    <t>UNCINATA HEDW. LOESKE; B RADIATION; CHLOROPHYLL FLUORESCENCE; ULTRAVIOLET-RADIATION; PIGMENT COMPOSITION; PHOTOINHIBITION; PHOTOSYNTHESIS</t>
  </si>
  <si>
    <t>The simple structure of mosses, a major component of Antarctic terrestrial vegetation, has led to suggestions that they might be exceptionally sensitive to enhanced UV from the ozone hole. The results presented here show that the mosses Ceratodon purpureus and Bryum subrotundifolium are resistant to UV-A and that the latter species can rapidly change its protection to suit the UV environment. The studies were made using a UV-A PAM chlorophyll fluorescence fluorometer that allowed absorption of UV-A before arrival at the chloroplast (i.e. UV-A shielding) to be estimated. Both C. purpureus and B. subrotundifolium have sun and shade forms that differ markedly in colour and their protection from UV-A. Shade forms of B. subrotundifolium, initially low in UV-A protection, achieve full, sun-form levels in about 6 days when exposed to ambient sunlight. These results, taken with other recent studies, suggest that not only are Antarctic mosses well protected from ambient UV, but are also as adaptable to incident UV as higher plants.</t>
  </si>
  <si>
    <t>Univ Waikato, Hamilton, New Zealand; Univ Kiel, Inst Bot, D-24105 Kiel, Germany; Univ Complutense, Fac Farm, Dept Biol Vegetal 2, E-28040 Madrid, Spain</t>
  </si>
  <si>
    <t>University of Waikato; University of Kiel; Complutense University of Madrid</t>
  </si>
  <si>
    <t>Univ Waikato, Private Bag 3105, Hamilton, New Zealand.</t>
  </si>
  <si>
    <t>greentga@waikato.ac.nz</t>
  </si>
  <si>
    <t>10.1007/s00300-005-0011-7</t>
  </si>
  <si>
    <t>WOS:000233324600003</t>
  </si>
  <si>
    <t>Detrich, HW; Jones, CD; Kim, S; North, AW; Thurber, A; Vacchi, M</t>
  </si>
  <si>
    <t>Nesting behavior of the icefish Chaenocephalus aceratus at Bouvetoya Island, Southern Ocean</t>
  </si>
  <si>
    <t>ANTARCTIC PENINSULA; HARPAGIFER-BISPINIS; PARENTAL CARE; BONY FISHES; REPRODUCTION; PISCES</t>
  </si>
  <si>
    <t>We describe in situ observations on nesting by the Scotia Sea (or blackfin) icefish Chaenocephalus aceratus (Lonnberg) that constitute the first substantive evidence of egg brooding and parental care by species of the family Channichthyidae. At Boutetoya Island six fish, all apparently male, were observed guarding egg nests at depths of 141-148 m during an ROV deployment. Eggs were laid as aggregated, round masses (similar to 20-25 cm diameter) in shallow, circular depressions (similar to 1-m diameter, similar to 20-cm depth) that were probably excavated by the parent(s) to protect the nests. The fish guardians remained tenaciously in contact with the eggs despite disturbances caused by the ROV, reacting to this threat with stress and defense behaviors. Because brooding fishes are more susceptible to the population impacts from trawl fisheries, we argue that this life history should be kept in mind in designing management schemes.</t>
  </si>
  <si>
    <t>Northeastern Univ, Dept Biol, Boston, MA 02115 USA; US Antarctic Marine Living Resources Program, SW Fisheries Sci Ctr, La Jolla, CA 92038 USA; Moss Landing Marine Labs, Moss Landing, CA 95039 USA; British Antarctic Survey, Cambridge CB3 0ET, England; Univ Genoa, I-16132 Genoa, Italy</t>
  </si>
  <si>
    <t>Northeastern University; National Oceanic Atmospheric Admin (NOAA) - USA; Moss Landing Marine Laboratories; UK Research &amp; Innovation (UKRI); Natural Environment Research Council (NERC); NERC British Antarctic Survey; University of Genoa</t>
  </si>
  <si>
    <t>Northeastern Univ, Dept Biol, 134 Mugar Hall,360 Huntington Ave, Boston, MA 02115 USA.</t>
  </si>
  <si>
    <t>iceman@neu.edu</t>
  </si>
  <si>
    <t>10.1007/s00300-005-0010-8</t>
  </si>
  <si>
    <t>WOS:000233324600004</t>
  </si>
  <si>
    <t>Antarctic icefishes (Channichthyidae): a unique family of fishes. A review, Part I</t>
  </si>
  <si>
    <t>SEALS ARCTOCEPHALUS-GAZELLA; KING GEORGE ISLAND; CHIONODRACO-HAMATUS TELEOSTEI; PENGUIN PYGOSCELIS-PAPUA; BLACK-BROWED ALBATROSS; SOUTH SHETLAND ISLANDS; HEMOGLOBIN-FREE FISH; WESTERN ROSS SEA; TERRA-NOVA BAY; FUR SEALS</t>
  </si>
  <si>
    <t>Icefish or white-blooded fish are a family of species, unique among vertebrates in that they possess no haemoglobin. With the exception of one species which occurs on the southern Patagonian shelf, icefish live only in the cold-stable and oxygen-rich environment of the Southern Ocean. It is still questionable how old icefish are in evolutionary terms: they may not be older than 6 Ma, i.e. they evolved well after the Southern Ocean started to cool down or they are 15-20 Ma old and started to evolve some time after the formation of the Antarctic Circumpolar Current. Individuals of most icefish species with the exception of species of the genus Champsocephalus have been found down to 700-800 m depth, a few even down to more than 1,500 m. Icefish have been shown to present organ-level adaptations on different levels to compensate for the 'disadvantages' of lacking respiratory pigments. These include a low metabolic rate, well perfused gills, increased blood volume, increased cardiac output, cutaneous uptake of oxygen, increased blood flow with low viscosity, enlarged capillaries, large heart, and increased skin vascularity. Biological features, such as reproduction and growth, are not unique and are comparable to other notothenioids living in the same environment. Icefish produce large yolky eggs which have a diameter of more than 4 mm in most species. Consequently, the number of eggs produced is comparatively small and exceeds 10,000-20,000 eggs in only a few cases. With the exception of species of the genus Champsocephalus which mature at an age of 3 to 4 years, icefish do not attain maturity before they are 5-8 years old. Spawning period of most icefish species is autumn-winter. The incubation period spans from 2 to 3 months in the north of the Southern Ocean to more than 6 months close to the continent. Growth in icefish to the extent it is known is fairly rapid. They grow 6-10 cm in length per annum before they reach spawning maturity. Icefish feed primarily on krill and fish. Some icefish species were abundant enough to be exploited by commercial fisheries, primarily in the 1970s and 1980s with Champsocephalus gunnari as the main target species. Most stocks of this species had been overexploited by the beginning of the 1990s, some had further declined due to natural causes. Other species taken as by-catch species in fisheries were Chaenocephalus aceratus, Pseudochaenichthys georgianus, and Chionodraco rastrospinosus. Chaenodraco wilsoni was the only species exploited on a commercial scale in the high-Antarctic.</t>
  </si>
  <si>
    <t>10.1007/s00300-005-0019-z</t>
  </si>
  <si>
    <t>WOS:000233324600007</t>
  </si>
  <si>
    <t>Baran, AJ; Shcherbakov, VN; Baker, BA; Gayet, JF; Lawson, RP</t>
  </si>
  <si>
    <t>On the scattering phase-function of non-symmetric ice-crystals</t>
  </si>
  <si>
    <t>Antarctic; asymmetry parameter; cirrus; radiation; remote sensing</t>
  </si>
  <si>
    <t>CIRRUS CLOUD; BIDIRECTIONAL REFLECTANCE; RADIANCE MEASUREMENTS; RADIATIVE PROPERTIES; LIGHT-SCATTERING; SIZE; SENSITIVITY; EXTINCTION; AIRCRAFT; TESTS</t>
  </si>
  <si>
    <t>Theoretical phase-functions representing randomly oriented fractal ice-crystals, bullet-rosettes, ice aggregates, and an ensemble of ice crystals are compared to measured phase-functions using a Polar Nephelometer located in the Antarctic. The Polar Nephelometer operated at a wavelength of 0.80 mu m and measured the scattering phase-functions of individual ice-crystals between the scattering angles of 5.86 degrees and 167 degrees. The Polar Nephelometer was operated in tandem with a Cloud Particle Imager (supplied by SPEC Inc.) both were situated at the South Pole Amundsen-Scott base station during January 2002. In this paper we report on a sample of Polar Nephelometer data obtained over a time interval of 2000 seconds consisting of 3256 phase-functions measured from individual ice-crystals. The 3256 measured phase-functions were averaged to produce an ensemble-averaged phase-function. The theoretical phase-functions have been compared to the measured ensemble-averaged phase-function. The paper demonstrates that phase functions representing single ice-crystal geometries do not reproduce the measured data well. However, the theoretical phase-function representing scattering from an ensemble of ice crystals is found to be the best description of the measured phase-function over all scattering angles.</t>
  </si>
  <si>
    <t>Met Off, Exeter EX1 3PB, Devon, England; Univ Clermont Ferrand, LaMP, Clermont Ferrand, France; Byelarussian Acad Sci, Inst Phys, Minsk 220602, BELARUS; Stratton Pk Engn Co Inc, Boulder, CO USA</t>
  </si>
  <si>
    <t>Met Office - UK; National Academy of Sciences of Belarus (NASB); B.I. Stepanov Institute of Physics of the National Academy of Sciences of Belarus</t>
  </si>
  <si>
    <t>Met Off, Cordouan 2,FitzRoy Rd, Exeter EX1 3PB, Devon, England.</t>
  </si>
  <si>
    <t>anthony.baran@metoffice.gov.uk</t>
  </si>
  <si>
    <t>A</t>
  </si>
  <si>
    <t>10.1256/qj.04.137</t>
  </si>
  <si>
    <t>986UT</t>
  </si>
  <si>
    <t>WOS:000233475900002</t>
  </si>
  <si>
    <t>Castaneda, ME; Compagnucci, RH</t>
  </si>
  <si>
    <t>Temporal variability of lower stratosphere temperature</t>
  </si>
  <si>
    <t>STUDIA GEOPHYSICA ET GEODAETICA</t>
  </si>
  <si>
    <t>principal component analysis; stratosphere; temperature; MSU; QBO; Northern Hemisphere; Southern Hemisphere; global</t>
  </si>
  <si>
    <t>SOUTHERN-HEMISPHERE; PART II; EXTRATROPICAL CIRCULATION; ANNULAR MODES; EL CHICHON; MSU VIEW; PINATUBO; BEHAVIOR; TRENDS; AGUNG</t>
  </si>
  <si>
    <t>Inter-monthly to inter-decadal global variability of lower stratosphere temperature (LST) is studied in order to improve current knowledge on its variability and trends, as well as natural and anthropogenic influences upon it. Principal Component Analysis (PCA) with S-mode Varimax rotated PCA were used. The first seven components, which explain 70% of variance make it possible to determine homogeneous LST behaviour zones with little overlap between areas, and practically no unclassified areas. Composite time series, referred to as reference series, in the core of the subregions defined by each of the PCs, were calculated in order to obtain the temporal patterns. The equatorial-tropical zone and the subtropical area display warmings caused by the eruptions of El Chichon and Mt. Pinatubo volcanoes as well as the strong influence of the Quasi-Biennial Oscillation (QBO) which leads to equatorial warming (cooling) in the west (east) phase and cooling (warming) in subtropical latitudes. Only low latitudes show some kind of global teleconnection between hemispheres. Significant correlation with several ocean/atmosphere index time-series like ENSO, Antarctic and Arctic Oscillations (AAO, AO), Arctic Circumpolar Vortex was detected over latitudinally separate regions. Antarctic and Arctic ozone hole values were contrasted with warming and cooling features registered in mid and high latitudes in both hemispheres. The LST reference series exhibit a negative trend, commonly attributed to the increase in greenhouse gases that lead to a warming of the troposphere and a cooling of the stratosphere, in all sub regions. The highest cooling rate of - 0.65 degrees C/decade is detected in the Gobi desert, and the lowest values of -0.1 degrees C/decade over the NE of Canada and Greenland which indicates the great longitudinal variability that the LST trends may present. The difference with other authors is mainly due to the fact that results are based either on latitudinal averages or radiosonde data.</t>
  </si>
  <si>
    <t>Univ Buenos Aires, CONICET, Fac Ciencias Exactas &amp; Nat, Dept Ciencias Atmosfera &amp; Oceanos, Buenos Aires, DF, Argentina</t>
  </si>
  <si>
    <t>Consejo Nacional de Investigaciones Cientificas y Tecnicas (CONICET); University of Buenos Aires</t>
  </si>
  <si>
    <t>Castaneda, ME (corresponding author), Univ Buenos Aires, CONICET, Fac Ciencias Exactas &amp; Nat, Dept Ciencias Atmosfera &amp; Oceanos, Pab 2 Piso II C1428EHA, Buenos Aires, DF, Argentina.</t>
  </si>
  <si>
    <t>eliza@at.fcen.uba.ar</t>
  </si>
  <si>
    <t>Castaneda, Maria Elizabeth/0000-0001-8975-2716</t>
  </si>
  <si>
    <t>0039-3169</t>
  </si>
  <si>
    <t>1573-1626</t>
  </si>
  <si>
    <t>STUD GEOPHYS GEOD</t>
  </si>
  <si>
    <t>Stud. Geophys. Geod.</t>
  </si>
  <si>
    <t>10.1007/s11200-005-0028-y</t>
  </si>
  <si>
    <t>973OB</t>
  </si>
  <si>
    <t>WOS:000232531400008</t>
  </si>
  <si>
    <t>Atkinson, KB</t>
  </si>
  <si>
    <t>Antarctic connexions</t>
  </si>
  <si>
    <t>SURVEY REVIEW</t>
  </si>
  <si>
    <t>Atkinson, KB (corresponding author), 22 Red House Dr, Sonning Common RG4 9NT, England.</t>
  </si>
  <si>
    <t>0039-6265</t>
  </si>
  <si>
    <t>1752-2706</t>
  </si>
  <si>
    <t>SURV REV</t>
  </si>
  <si>
    <t>Surv. Rev.</t>
  </si>
  <si>
    <t>Engineering, Civil; Geosciences, Multidisciplinary; Remote Sensing</t>
  </si>
  <si>
    <t>Engineering; Geology; Remote Sensing</t>
  </si>
  <si>
    <t>967WF</t>
  </si>
  <si>
    <t>WOS:000232121200008</t>
  </si>
  <si>
    <t>Thatje, S; Hillenbrand, CD; Larter, R</t>
  </si>
  <si>
    <t>On the origin of Antarctic marine benthic community structure</t>
  </si>
  <si>
    <t>TRENDS IN ECOLOGY &amp; EVOLUTION</t>
  </si>
  <si>
    <t>SEDIMENTARY PROCESSES; SOUTHERN-OCEAN; CLIMATE-CHANGE; ROSS-SEA; INVERTEBRATES; TEMPERATURE; COLD; REPRODUCTION; GLACIATION; MORPHOLOGY</t>
  </si>
  <si>
    <t>Environmental conditions fostering marine communities around Antarctica differ fundamentally from those in the rest of the world's oceans, particularly in terms of pronounced climatic fluctuations and extreme cold. Here, we argue that the rarity of pelagic larval stages in Antarctic marine benthic invertebrate species is a consequence of evolutionary temperature adaptation and that this has greatly contributed to the current structure of the Antarctic benthic community. In arguing this position, we challenge the likelihood of previously suggested survival strategies of benthic communities on the Antarctic continental shelf and slope during Cenozoic glacial periods. By integrating evidence from marine geology and geophysics, we suggest that the Antarctic continental shelf and slope were both unfavourable environments for benthic communities during glacial periods and that community survival was only possible in the deep sea or in shelters on the continental shelf as a result of the diachronism in maximum ice extent.</t>
  </si>
  <si>
    <t>Univ Southampton, Natl Oceanog Ctr, Southampton SO14 3ZH, Hants, England; British Antarctic Survey, Geol Sci Div, Cambridge CB3 0ET, England</t>
  </si>
  <si>
    <t>University of Southampton; NERC National Oceanography Centre; UK Research &amp; Innovation (UKRI); Natural Environment Research Council (NERC); NERC British Antarctic Survey</t>
  </si>
  <si>
    <t>Univ Southampton, Natl Oceanog Ctr, European Way, Southampton SO14 3ZH, Hants, England.</t>
  </si>
  <si>
    <t>Larter, Robert/0000-0002-8414-7389</t>
  </si>
  <si>
    <t>Natural Environment Research Council [NER/G/S/2002/00009] Funding Source: researchfish</t>
  </si>
  <si>
    <t>ELSEVIER SCIENCE LONDON</t>
  </si>
  <si>
    <t>84 THEOBALDS RD, LONDON WC1X 8RR, ENGLAND</t>
  </si>
  <si>
    <t>0169-5347</t>
  </si>
  <si>
    <t>1872-8383</t>
  </si>
  <si>
    <t>TRENDS ECOL EVOL</t>
  </si>
  <si>
    <t>Trends Ecol. Evol.</t>
  </si>
  <si>
    <t>10.1016/j.tree.2005.07.010</t>
  </si>
  <si>
    <t>Ecology; Evolutionary Biology; Genetics &amp; Heredity</t>
  </si>
  <si>
    <t>Environmental Sciences &amp; Ecology; Evolutionary Biology; Genetics &amp; Heredity</t>
  </si>
  <si>
    <t>974QQ</t>
  </si>
  <si>
    <t>WOS:000232606900004</t>
  </si>
  <si>
    <t>Gushterova, A; Vasileva-Tonkova, E; Dimova, E; Nedkov, P; Haertlé, T</t>
  </si>
  <si>
    <t>Keratinase production by newly isolated antarctic actinomycete strains</t>
  </si>
  <si>
    <t>WORLD JOURNAL OF MICROBIOLOGY &amp; BIOTECHNOLOGY</t>
  </si>
  <si>
    <t>Antarctic actinomycetes; keratinase activity; Microbispora aerata; Streptomyces flavis; wool waste</t>
  </si>
  <si>
    <t>BACILLUS-LICHENIFORMIS PWD-1; EXTRACELLULAR KERATINASE; STREPTOMYCES-FRADIAE; MICROSPORUM-GYPSEUM; FEATHERS; CYSTINE; PACTUM; FUNGUS</t>
  </si>
  <si>
    <t>The ability of actinomycete strains newly isolated from Antarctic soils to produce keratinolytic enzymes during growth on sheep wool waste was investigated. The strains which displayed highest keratinase activity and identified as Streptomyces flavis 2BG (mesophilic) and Microbispora aerata IMBAS-11A (thermophilic) were selected for a more detailed analysis. The addition of starch to the growth medium affected keratinase secretion by both strains. After 5 days of cultivation, a 6-fold increase in keratinase activity of strain 11A was observed in the presence of 11 g starch/l and a 9-fold increase in keratinase activity of the strain 2BG in the presence of 5 g starch/l. The results obtained showed that both newly isolated strains are very promising for effective processing of native keratinous wastes. To our knowledge, this is the first report of Antarctic actinomycete strains that were able to grow on keratin-containing wastes by producing keratinolytic enzymes.</t>
  </si>
  <si>
    <t>Bulgarian Acad Sci, Inst Microbiol, BU-1113 Sofia, Bulgaria; Bulgarian Acad Sci, Inst Organ Chem, BU-1113 Sofia, Bulgaria; INRA, Lab Etude Interact Mol Alimentaires, F-44316 Nantes, France</t>
  </si>
  <si>
    <t>Bulgarian Academy of Sciences; Medical University Sofia; Bulgarian Academy of Sciences; INRAE</t>
  </si>
  <si>
    <t>Bulgarian Acad Sci, Inst Microbiol, Acad G Bonchev Str,Bl 26, BU-1113 Sofia, Bulgaria.</t>
  </si>
  <si>
    <t>evaston@yahoo.com</t>
  </si>
  <si>
    <t>Haertlé, Thomas/K-1278-2013; Haertlé, Thomas/K-1740-2017</t>
  </si>
  <si>
    <t>Dimova, Elitsa/0000-0003-2745-8145</t>
  </si>
  <si>
    <t>0959-3993</t>
  </si>
  <si>
    <t>1573-0972</t>
  </si>
  <si>
    <t>WORLD J MICROB BIOT</t>
  </si>
  <si>
    <t>World J. Microbiol. Biotechnol.</t>
  </si>
  <si>
    <t>6-7</t>
  </si>
  <si>
    <t>10.1007/s11274-004-2241-1</t>
  </si>
  <si>
    <t>985NT</t>
  </si>
  <si>
    <t>WOS:000233385500007</t>
  </si>
  <si>
    <t>Spinhirne, JD; Palm, SP; Hart, WD</t>
  </si>
  <si>
    <t>Antarctica cloud cover for October 2003 from GLAS satellite lidar profiling</t>
  </si>
  <si>
    <t>SOUTH-POLE; RADIATION; ALTIMETRY; ICE</t>
  </si>
  <si>
    <t>Bright surfaces and low surface temperature limit the study of Antarctica cloud cover by passive techniques. Starting in 2003 the Geoscience Laser Altimeter System (GLAS) provides the first measurements of polar clouds by satellite lidar. From the GLAS data the presence and height of all clouds are detected, and in the case of transmissive clouds that predominate in the Antarctica, the thickness is also found. Initial results for October 2003 data are summarized. There are two basic cloud types profiled: stratus below 3 km and cirrus form clouds with cloud top altitude and thickness tending at 12 km and 1.3 km. Zonal average cloud fraction varies from over 93% for ocean and coastal regions to a consistent average of 40% over the East Antarctic plateau and 60 - 90% over West Antarctica. Differences between the zonal average GLAS and MODIS cloud fractions are as much as 40% over the continent.</t>
  </si>
  <si>
    <t>NASA, Lab Atmospheres 613 1, Goddard Space Flight Ctr, Greenbelt, MD 20771 USA; Sci Syst Applicat Inc, Lanham, MD 20706 USA</t>
  </si>
  <si>
    <t>National Aeronautics &amp; Space Administration (NASA); NASA Goddard Space Flight Center; Science Systems and Applications Inc</t>
  </si>
  <si>
    <t>NASA, Lab Atmospheres 613 1, Goddard Space Flight Ctr, Greenbelt, MD 20771 USA.</t>
  </si>
  <si>
    <t>jspin@virl.gsfc.nasa.gov</t>
  </si>
  <si>
    <t>Spinhirne, James D/D-2541-2011</t>
  </si>
  <si>
    <t>SEP 30</t>
  </si>
  <si>
    <t>L22S05</t>
  </si>
  <si>
    <t>10.1029/2005GL023782</t>
  </si>
  <si>
    <t>971PI</t>
  </si>
  <si>
    <t>WOS:000232396000002</t>
  </si>
  <si>
    <t>López-Puertas, M; Funke, B; Gil-López, S; von Clarmann, T; Stiller, GP; Höpfner, M; Kellmann, S; Fischer, H; Jackman, CH</t>
  </si>
  <si>
    <t>Observation of NOx enhancement and ozone depletion in the Northern and Southern Hemispheres after the October-November 2003 solar proton events -: art. no. A09S43</t>
  </si>
  <si>
    <t>MIDDLE-ATMOSPHERE; NITRIC-OXIDE; VORTEX; MIPAS; CONSTITUENTS; MESOSPHERE; MODEL</t>
  </si>
  <si>
    <t>[1] The large solar storms in October - November 2003 produced enormous solar proton events (SPEs) where high energetic particles reached the Earth and penetrated into the middle atmosphere in the polar regions. At this time, the Michelson Interferometer for Passive Atmospheric Sounding (MIPAS) was observing the atmosphere in the 6 - 68 km altitude range. MIPAS observations of NOx (NO + NO2) and O-3 of the period from 25 October to 14 November 2003 are the first global measurements of NOx species, covering both the summer ( daylight) and winter ( dark) polar regions during an SPE. Very large values of NOx in the upper stratosphere of 180 ppbv ( parts per billion by volume) have been measured, and a large asymmetry in northern and southern polar cap NOx enhancements was found. Arctic mean polar cap (&gt; 60 degrees) NOx enhancements of 20 to 70 ppbv between 40 to 60 km lasted for at least 2 weeks, while the Antarctic mean NOx enhancement was between 10 and 35 ppbv and was halved after 2 weeks. Ozone shows depletion signatures associated with both HOx (H + OH + HO2) and NOx enhancements but at different timescales. Arctic lower mesospheric ( upper stratospheric) ozone is reduced by 50 - 70% ( 30 - 40%) for about 2 weeks after the SPEs. A smaller ozone depletion signal was observed in the Antarctic atmosphere. After the locally produced Arctic middle and upper stratospheric as well as mesospheric NOx enhancement, large amounts of NOx were observed until the end of December. These are explained by downward transport processes. These enhancements drastically declined with the mid-December stratospheric warming. Significant O3 depletion was observed inside the polar vortex in a wide altitude range during this period. From mid-January until the end of March 2004, MIPAS observed extraordinary high values of NO2 in the upper stratosphere of the northern polar region ( mean in-vortex values up to 350 ppbv at similar to 54 km), which seem to be caused by the unusually strong vortex and downward transport at that time together with an uncommonly large auroral activity starting with the solar storms in October - November and continuing over the winter. In-vortex ozone was observed to significantly decline in the mid-February to late March period above the 1750 K potential temperature level.</t>
  </si>
  <si>
    <t>CSIC, Inst Astrofis Andalucia, E-18080 Granada, Spain; Forschungszentrum Karlsruhe, Inst Meteorol &amp; Klimaforsch, D-76021 Karlsruhe, Germany; Univ Karlsruhe, Inst Meteorol &amp; Klimaforsch, D-76021 Karlsruhe, Germany; NASA, Goddard Space Flight Ctr, Greenbelt, MD 20771 USA</t>
  </si>
  <si>
    <t>Consejo Superior de Investigaciones Cientificas (CSIC); CSIC - Instituto de Astrofisica de Andalucia (IAA); Helmholtz Association; Karlsruhe Institute of Technology; Helmholtz Association; Karlsruhe Institute of Technology; National Aeronautics &amp; Space Administration (NASA); NASA Goddard Space Flight Center</t>
  </si>
  <si>
    <t>puertas@iaa.es</t>
  </si>
  <si>
    <t>Jackman, Charles H/D-4699-2012; von Clarmann, Thomas/A-7287-2013; Stiller, Gabriele P./A-7340-2013; Lopez-Puertas, Manuel/M-8219-2013; Funke, Bernd/C-2162-2008; Hopfner, Michael/A-7255-2013</t>
  </si>
  <si>
    <t>Stiller, Gabriele P./0000-0003-2883-6873; Gil-Lopez, Sergio/0000-0001-5584-345X; Lopez-Puertas, Manuel/0000-0003-2941-7734; Funke, Bernd/0000-0003-0462-4702; Hopfner, Michael/0000-0002-4174-9531; von Clarmann, Thomas/0000-0003-2219-3379; Gil-Lopez, Sergio/0000-0002-3867-5439</t>
  </si>
  <si>
    <t>A9</t>
  </si>
  <si>
    <t>A09S43</t>
  </si>
  <si>
    <t>10.1029/2005JA011050</t>
  </si>
  <si>
    <t>973HD</t>
  </si>
  <si>
    <t>WOS:000232512600008</t>
  </si>
  <si>
    <t>Bodeker, GE; Shiona, H; Eskes, H</t>
  </si>
  <si>
    <t>Indicators of Antarctic ozone depletion</t>
  </si>
  <si>
    <t>DECLINE; TRENDS</t>
  </si>
  <si>
    <t>An assimilated data base of total column ozone measurements from satellites has been used to generate a set of indicators describing attributes of the Antarctic ozone hole for the period 1979 to 2003, including (i) daily measures of the area over Antarctica where ozone levels are below 150 DU, below 220 DU, more than 30% below 1979 to 1981 norms, and more than 50% below 1979 to 1981 norms, (ii) the date of disappearance of 150 DU ozone values, 220 DU ozone values, values 30% below 1979 to 1981 norms, and values 50% below 1979 to 1981 norms, for each year, (iii) daily minimum total column ozone values over Antarctica, and (iv) daily values of the ozone mass deficit based on a O-3&lt; 220 DU threshold. The assimilated data base combines satellite-based ozone measurements from 4 Total Ozone Mapping Spectrometer ( TOMS) instruments, 3 different retrievals from the Global Ozone Monitoring Experiment (GOME), and data from 4 Solar Backscatter UltraViolet (SBUV) instruments. Comparisons with the global ground-based Dobson spectrophotometer network are used to remove offsets and drifts between the different data sets to produce a global homogeneous data set that combines the advantages of good spatial coverage of satellite data with good long-term stability of ground-based measurements. One potential use of the derived indices is detection of the expected recovery of the Antarctic ozone hole. The suitability of the derived indicators to this task is discussed in the context of their variability and their susceptibility to saturation effects which makes them less responsive to decreasing stratospheric halogen loading. It is also shown that if the corrections required to match recent Earth Probe TOMS measurements to Dobson measurements are not applied, some of the indictors are affected so as to obscure detection of the recovery of the Antarctic ozone hole.</t>
  </si>
  <si>
    <t>Natl Inst Water &amp; Atmospher Res, Lauder, New Zealand; Koninklijk Nederlands Meteorol Inst, De Bilt, Netherlands</t>
  </si>
  <si>
    <t>National Institute of Water &amp; Atmospheric Research (NIWA) - New Zealand; Royal Netherlands Meteorological Institute</t>
  </si>
  <si>
    <t>Natl Inst Water &amp; Atmospher Res, Lauder, New Zealand.</t>
  </si>
  <si>
    <t>g.bodeker@niwa.co.nz</t>
  </si>
  <si>
    <t>Bodeker, Greg E/A-8870-2008</t>
  </si>
  <si>
    <t>Bodeker, Gregory/0000-0003-1094-5852</t>
  </si>
  <si>
    <t>SEP 29</t>
  </si>
  <si>
    <t>10.5194/acp-5-2603-2005</t>
  </si>
  <si>
    <t>969AG</t>
  </si>
  <si>
    <t>WOS:000232205200002</t>
  </si>
  <si>
    <t>Assonov, SS; Brenninkmeijer, CAM; Jöckel, P</t>
  </si>
  <si>
    <t>The 18O isotope exchange rate between firn air CO2 and the firn matrix at three Antarctic sites -: art. no. D18310</t>
  </si>
  <si>
    <t>ICE-CORE RECORDS; CARBON-DIOXIDE; POLAR FIRN; WATER-VAPOR; ATMOSPHERIC (CO)-C-14; DOME ICE; C-14; HYDRATION; SAMPLES; AGE</t>
  </si>
  <si>
    <t>[1] Having measured delta O-18 of firn air CO2 for three Antarctic sites (Dronning Maud Land, Dome Concordia, and Berkner Island), we established that at depth the delta O-18(CO2) values are systematically shifted away from atmospheric values toward isotope equilibrium with H2O from precipitation ( firn matrix). The delta O-18(CO2) shifts increase with depth and thus with CO2 age. The equation of a first-order reaction is used to describe and calculate CO2 oxygen isotope exchange rates. The calculated exchange rates clearly show a correlation with firn temperatures. Assuming that the same mechanism operates at different sites and at different temperatures, a pseudoactivation energy of 7.8 +/- 0.8 kcal/mol is estimated. The occurrence of exchange means that firn is not chemically inert in that sense that some form of CO2 hydration takes place. Possible mechanisms of CO2 oxygen isotope exchange are discussed and liquid-like layers on firn grains are the most likely interface where this exchange takes place. Other gases ( e. g., COS) may likewise be sensitive to hydration or related reactions and this may reduce their integrity in firn. A formal translation of the reaction rates of CO2 oxygen isotope exchange in firn to a COS hydration rate appears to indicate COS preservation on the scale of tens of thousands of years. We suggest that the value of CO2 oxygen exchange rate in firn, expressed as half-reaction time T1/2, may be used as a new firn characteristic, giving a measure of hydration activity in firn, an indirect measure of firn metamorphism and be correlated with other firn processes near a pore close-off-depth. T1/2 values may possibly correlate with the process of He and Ne diffusion/expulsion during the close-off of pores in firn, as well as the release of (CO)-C-14 produced in situ in the firn matrix.</t>
  </si>
  <si>
    <t>Max Planck Inst Chem, D-55020 Mainz, Germany</t>
  </si>
  <si>
    <t>Max Planck Inst Chem, POB 3060, D-55020 Mainz, Germany.</t>
  </si>
  <si>
    <t>assonov@mpch-mainz.mpg.de</t>
  </si>
  <si>
    <t>Brenninkmeijer, Carl/B-6860-2013; Jöckel, Patrick/C-3687-2009</t>
  </si>
  <si>
    <t>Jöckel, Patrick/0000-0002-8964-1394; Assonov, Sergey/0000-0001-9096-4150</t>
  </si>
  <si>
    <t>D18</t>
  </si>
  <si>
    <t>D18310</t>
  </si>
  <si>
    <t>10.1029/2005JD005769</t>
  </si>
  <si>
    <t>971PR</t>
  </si>
  <si>
    <t>WOS:000232396900001</t>
  </si>
  <si>
    <t>Orr, JC; Fabry, VJ; Aumont, O; Bopp, L; Doney, SC; Feely, RA; Gnanadesikan, A; Gruber, N; Ishida, A; Joos, F; Key, RM; Lindsay, K; Maier-Reimer, E; Matear, R; Monfray, P; Mouchet, A; Najjar, RG; Plattner, GK; Rodgers, KB; Sabine, CL; Sarmiento, JL; Schlitzer, R; Slater, RD; Totterdell, IJ; Weirig, MF; Yamanaka, Y; Yool, A</t>
  </si>
  <si>
    <t>Anthropogenic ocean acidification over the twenty-first century and its impact on calcifying organisms</t>
  </si>
  <si>
    <t>ATMOSPHERIC CARBON-DIOXIDE; PRINCE-WILLIAM-SOUND; TERRA-NOVA BAY; ROSS SEA; ARAGONITE PRODUCTION; PACIFIC SECTOR; SOUTHERN-OCEAN; VERTICAL FLUX; CO2; ANTARCTICA</t>
  </si>
  <si>
    <t>Today's surface ocean is saturated with respect to calcium carbonate, but increasing atmospheric carbon dioxide concentrations are reducing ocean pH and carbonate ion concentrations, and thus the level of calcium carbonate saturation. Experimental evidence suggests that if these trends continue, key marine organisms - such as corals and some plankton - will have difficulty maintaining their external calcium carbonate skeletons. Here we use 13 models of the ocean - carbon cycle to assess calcium carbonate saturation under the IS92a 'business-as-usual' scenario for future emissions of anthropogenic carbon dioxide. In our projections, Southern Ocean surface waters will begin to become undersaturated with respect to aragonite, a metastable form of calcium carbonate, by the year 2050. By 2100, this undersaturation could extend throughout the entire Southern Ocean and into the subarctic Pacific Ocean. When live pteropods were exposed to our predicted level of undersaturation during a two-day shipboard experiment, their aragonite shells showed notable dissolution. Our findings indicate that conditions detrimental to high-latitude ecosystems could develop within decades, not centuries as suggested previously.</t>
  </si>
  <si>
    <t>CEA Saclay, UMR CEA CNRS, Lab Sci Climat &amp; Environm, F-91191 Gif Sur Yvette, France; Calif State Univ San Marcos, Dept Biol Sci, San Marcos, CA 92096 USA; Ctr IRD Bretagne, LOCEAN, F-29280 Plouzane, France; Woods Hole Oceanog Inst, Woods Hole, MA 02543 USA; NOAA, Pacific Marine Environm Lab, Seattle, WA 98115 USA; NOAA, Geophys Fluid Dynam Lab, Princeton, NJ 08542 USA; Univ Calif Los Angeles, Inst Geophys &amp; Planetary Phys, Los Angeles, CA 90095 USA; Frontier Res Ctr Global Change, Yokohama, Kanagawa 2360001, Japan; Univ Bern, Inst Phys, CH-3012 Bern, Switzerland; Princeton Univ, Atmospher &amp; Ocean Sci Program, Princeton, NJ 08544 USA; Natl Ctr Atmospher Res, Boulder, CO 80307 USA; Max Planck Inst Meteorol, D-20146 Hamburg, Germany; CSIRO, Marine Res &amp; Antarctic Climate &amp; Ecosyst CRC, Hobart, Tas 7001, Australia; Univ Liege, Astrophys &amp; Geophys Inst, B-4000 Liege, Belgium; Penn State Univ, Dept Meteorol, University Pk, PA 16802 USA; Univ Paris 06, LOCEAN, F-75252 Paris, France; Alfred Wegener Inst Polar &amp; Marine Res, D-27515 Bremerhaven, Germany; Natl Oceanog Ctr Southampton, Southampton SO14 3ZH, Hants, England</t>
  </si>
  <si>
    <t>Universite Paris Saclay; CEA; Centre National de la Recherche Scientifique (CNRS); California State University System; California State University San Marcos; Museum National d'Histoire Naturelle (MNHN); Sorbonne Universite; Institut de Recherche pour le Developpement (IRD); Woods Hole Oceanographic Institution; National Oceanic Atmospheric Admin (NOAA) - USA; National Oceanic Atmospheric Admin (NOAA) - USA; University of California System; University of California Los Angeles; Japan Agency for Marine-Earth Science &amp; Technology (JAMSTEC); University of Bern; National Oceanic Atmospheric Admin (NOAA) - USA; Princeton University; National Center Atmospheric Research (NCAR) - USA; Max Planck Society; Commonwealth Scientific &amp; Industrial Research Organisation (CSIRO); University of Liege; Pennsylvania Commonwealth System of Higher Education (PCSHE); Pennsylvania State University; Pennsylvania State University - University Park; Sorbonne Universite; Museum National d'Histoire Naturelle (MNHN); Helmholtz Association; Alfred Wegener Institute, Helmholtz Centre for Polar &amp; Marine Research; University of Southampton; NERC National Oceanography Centre</t>
  </si>
  <si>
    <t>Orr, JC (corresponding author), CEA Saclay, UMR CEA CNRS, Lab Sci Climat &amp; Environm, F-91191 Gif Sur Yvette, France.</t>
  </si>
  <si>
    <t>orr@cea.fr</t>
  </si>
  <si>
    <t>MONFRAY, Patrick/AAB-8665-2020; Joos, Fortunat/B-4118-2018; Gruber, Nicolas/B-7013-2009; Orr, James C/C-5221-2009; Gnanadesikan, Anand/A-2397-2008; Aumont, Olivier/G-5207-2016; Yool, Andrew/B-4799-2012; bopp, laurent/ABF-5302-2020; Rodgers, Keith/AAL-4329-2021; Feely, Richard A./ABI-5740-2020; Yamanaka, Yasuhiro/H-7393-2012; Plattner, Gian-Kasper/A-5245-2016; Doney, Scott/F-9247-2010; matear, richard/C-5133-2011; Mouchet, Anne/K-1911-2014</t>
  </si>
  <si>
    <t>MONFRAY, Patrick/0000-0002-3028-5591; Joos, Fortunat/0000-0002-9483-6030; Gruber, Nicolas/0000-0002-2085-2310; Aumont, Olivier/0000-0003-3954-506X; Yool, Andrew/0000-0002-9879-2776; bopp, laurent/0000-0003-4732-4953; Yamanaka, Yasuhiro/0000-0003-3369-3248; Plattner, Gian-Kasper/0000-0002-3765-0045; Doney, Scott/0000-0002-3683-2437; matear, richard/0000-0002-3225-0800; Gnanadesikan, Anand/0000-0001-5784-1116; Mouchet, Anne/0000-0002-8846-3063; Orr, James/0000-0002-8707-7080; Lindsay, Keith/0000-0002-3672-1665</t>
  </si>
  <si>
    <t>10.1038/nature04095</t>
  </si>
  <si>
    <t>968JD</t>
  </si>
  <si>
    <t>WOS:000232157900042</t>
  </si>
  <si>
    <t>Lin, JC; Xie, XL; Gong, M; Wang, Q; Chen, QX</t>
  </si>
  <si>
    <t>Effects of mercuric ion on the conformation and activity of Penaeus vannamei β-N-acetyl-D-glucosaminidase</t>
  </si>
  <si>
    <t>INTERNATIONAL JOURNAL OF BIOLOGICAL MACROMOLECULES</t>
  </si>
  <si>
    <t>beta-N-acetyl-D-glucosaminidase; Penaeus vannamei; mercuric chloride; inactivation kinetics; conformational changes</t>
  </si>
  <si>
    <t>PENICILLATUS ACID-PHOSPHATASE; CRAB SCYLLA-SERRATA; ALKALINE-PHOSPHATASE; MOLECULAR-CLONING; ANTARCTIC KRILL; INACTIVATION; KINETICS; PURIFICATION; EXPRESSION; PRAWN</t>
  </si>
  <si>
    <t>beta-N-acetyl-D-glucosaminidase (NAGase, EC.3.2.1.52), a composition of the chitinases, catalyzes the cleavage of N-acetylglucosamine polymers into N-acetylglucosamine. In this paper, the effects of mercuric ion on the activity of NAGase from Penaeus vannamei for the hydrolysis of pNP-NAG have been studied. The results show that HgCl2 can lead to irreversible inactivation to this enzyme. The inactivation process follows a first-order reaction and the inactivation rate constants have been determined. The relationship between the inactivation rate constants and HgCl2 concentration has been studied and the result shows that only one molecule of HgCl2 binds to the enzyme molecule to lead the enzyme lose its activity. Moreover, the conformational changes of the enzyme inactivated by HgCl2 were studied by following changes in the intrinsic fluorescence emission and ultraviolet absorption spectra. (c) 2005 Elsevier B.V. All rights reserved.</t>
  </si>
  <si>
    <t>Xiamen Univ, Dept Biochem &amp; Biotechnol, Sch Life Sci, Key Lab Minist Educ Cell Biol &amp; Tumor Cell Engn, Xiamen 361005, Peoples R China; Putian Univ, Dept Environm &amp; Life Sci, Putian 351100, Peoples R China</t>
  </si>
  <si>
    <t>Xiamen University; Putian University</t>
  </si>
  <si>
    <t>chenqx@jingxian.xmu.edu.cn</t>
  </si>
  <si>
    <t>0141-8130</t>
  </si>
  <si>
    <t>1879-0003</t>
  </si>
  <si>
    <t>INT J BIOL MACROMOL</t>
  </si>
  <si>
    <t>Int. J. Biol. Macromol.</t>
  </si>
  <si>
    <t>SEP 28</t>
  </si>
  <si>
    <t>10.1016/j.ijbiomac.2005.06.012</t>
  </si>
  <si>
    <t>Biochemistry &amp; Molecular Biology; Chemistry, Applied; Polymer Science</t>
  </si>
  <si>
    <t>Biochemistry &amp; Molecular Biology; Chemistry; Polymer Science</t>
  </si>
  <si>
    <t>966HA</t>
  </si>
  <si>
    <t>WOS:000232009500009</t>
  </si>
  <si>
    <t>Miyazaki, K; Iwasaki, T; Shibata, K; Deushi, M</t>
  </si>
  <si>
    <t>Roles of transport in the seasonal variation of the total ozone amount</t>
  </si>
  <si>
    <t>LAGRANGIAN-MEAN CIRCULATION; STRATOSPHERE-TROPOSPHERE EXCHANGE; HYBRID VERTICAL COORDINATE; PLANETARY WAVE-BREAKING; EFFECTIVE DIFFUSIVITY; FLOW INTERACTIONS; DOWNWARD CONTROL; MASS-TRANSPORT; COLUMN OZONE; WATER-VAPOR</t>
  </si>
  <si>
    <t>[1] Seasonal variations of the meridional ozone transport and their contributions to the total ozone amount are investigated in terms of mass-weighted isentropic zonal means and eddies of ozone flux. Three-dimensional data obtained using a chemical transport model are used to estimate transport fluxes. The mean ozone transport decreases the total ozone amount in the tropics and increases it in the extratropics, since the stratospheric poleward ozone transport due to the Brewer-Dobson circulation is much greater than the lower tropospheric equatorward transport. The mean ozone flux convergence centered near the pole in the Northern Hemisphere has considerable seasonal variation with a maximum in late winter. The flux convergence is centered outside of the polar vortex in the Southern Hemisphere, and its seasonal variation is somewhat small. In addition, the Brewer-Dobson circulation causes a seasonal variation of the tropical divergence, which is greatest in the northern winter. The eddy ozone transport is mostly equatorward in the lower stratosphere and troposphere, since the extratropical downward transport forms the isentropic poleward gradient of the ozone mixing ratio. It decreases the total ozone amount in the extratropics and increases it in the tropics. The eddy transport contributes less to seasonal variation of the total ozone amount; however, a strong poleward eddy transport increases it near the Antarctic in late spring. The transport characteristics are discussed in detail during and after breakdown of the Antarctic polar vortex.</t>
  </si>
  <si>
    <t>Tohoku Univ, Grad Sch Sci, Dept Geophys, Aoba Ku, Sendai, Miyagi 9808578, Japan; Meteorol Res Inst, Tsukuba, Ibaraki 3050052, Japan</t>
  </si>
  <si>
    <t>Tohoku University; Meteorological Research Institute - Japan</t>
  </si>
  <si>
    <t>Miyazaki, K (corresponding author), Tohoku Univ, Grad Sch Sci, Dept Geophys, Aoba Ku, Sendai, Miyagi 9808578, Japan.</t>
  </si>
  <si>
    <t>miyazaki@wind.geophys.tohoku.ac.jp</t>
  </si>
  <si>
    <t>Iwasaki, Toshiki/AAE-1601-2019; Miyazaki, Kazuyuki/AAL-1785-2021</t>
  </si>
  <si>
    <t>Iwasaki, Toshiki/0000-0003-2110-0687; Miyazaki, Kazuyuki/0000-0002-1466-4655; Deushi, Makoto/0000-0002-0373-3918</t>
  </si>
  <si>
    <t>D18309</t>
  </si>
  <si>
    <t>10.1029/2005JD005900</t>
  </si>
  <si>
    <t>971PP</t>
  </si>
  <si>
    <t>WOS:000232396700005</t>
  </si>
  <si>
    <t>Frangi, JL; Barrera, MD; Richter, LL; Lugo, AE</t>
  </si>
  <si>
    <t>Nutrient cycling in Nothofagus pumilio forests along an altitudinal gradient in Tierra del Fuego, Argentina</t>
  </si>
  <si>
    <t>FOREST ECOLOGY AND MANAGEMENT</t>
  </si>
  <si>
    <t>boreal and cool temperate forests; nutrient cycling; deciduous species; krummholz; sub Antarctic forests; timberline; Nothofagus pumilio; Tierra del Fuego; Argentina</t>
  </si>
  <si>
    <t>MOBILE TREE ISLANDS; ROCKY MOUNTAINS; USE EFFICIENCY; ALPINE TUNDRA; USA; GROWTH; STANDS; RANGE; SOILS</t>
  </si>
  <si>
    <t>Nothofagus pumilio (lenga) forests form monocultures from sea level to timberline in Tierra de Fuego, Argentina. Past studies suggested that the life form change from erect forest to krummholz had advantages to forest function. Aboveground net primary productivity (NPP) and organic matter production per unit leaf area and growing season day were higher in krummholz than in adjacent short erect forests at lower elevation. We compared tall erect, short erect, and krummholz lenga stands in terms of the concentration, accumulation, fluxes, turnover, and use-efficiency of nutrients (N, P, K, Ca, and Mg) along an elevation gradient (220-640 m) in Tierra del Fuego (Valle de Andorra, 54 degrees 9'S, 68 degrees 2W). With few exceptions, patterns of decreasing values of nutrient concentration, nutrient stock, nutrient flux, and nutrient turnover reversed at the krummholz, which had higher values of these parameters than an adjacent short erect forest at lower elevation. Nutrient cycles accelerated at the krummholz but nutrient use-efficiency of organic matter production and nutrient return to the forest floor decreased. Several functional attributes of krummholz support the notion that this life form has functional advantages at timberline. For example: (1) a shift towards fast turnover compartments for nutrient storage; (2) a switch from high storage of nutrients in stemwood biomass to nutrient storage in branch biomass; (3) faster rates of internal nutrient transfer (recycling and retention); (4) greater dependence on biotic recycling of nutrients; (5) morphological characteristics associated with leaf size, leaf duration, number of leaves, and leaf area to sapwood area ratio. Nutrient cycling attributes measured in Tierra del Fuego span values reported for forests across temperate and boreal latitudes, with krummholz and tall erect forests representing either the low or the high values. Lenga krummholz is different from coniferous krummholz in North America's tundra in that lenga appears to be a nutrient-rich forest that acts as a nutrient sink, while coniferous krummholz scavenge for nutrients on tundra soils and reduce their nutrient pools. (c) 2005 Elsevier B.V. All rights reserved.</t>
  </si>
  <si>
    <t>USDA, Forest Serv, Int Inst Trop Forestry, Rio Piedras, PR 00928 USA; Univ Nacl La Plata, LISEA, RA-1900 La Plata, Argentina</t>
  </si>
  <si>
    <t>United States Department of Agriculture (USDA); United States Forest Service; National University of La Plata</t>
  </si>
  <si>
    <t>USDA, Forest Serv, Int Inst Trop Forestry, POB 25000, Rio Piedras, PR 00928 USA.</t>
  </si>
  <si>
    <t>jfrangi@ceres.agro.unlp.edu.ar; mbarrera@ceres.agro.unlp.edu.ar; alugo@fs.fed.us</t>
  </si>
  <si>
    <t>Barrera, Marcelo Daniel/0000-0002-9207-8109</t>
  </si>
  <si>
    <t>0378-1127</t>
  </si>
  <si>
    <t>1872-7042</t>
  </si>
  <si>
    <t>FOREST ECOL MANAG</t>
  </si>
  <si>
    <t>For. Ecol. Manage.</t>
  </si>
  <si>
    <t>SEP 26</t>
  </si>
  <si>
    <t>10.1016/j.foreco.2005.05.051</t>
  </si>
  <si>
    <t>Forestry</t>
  </si>
  <si>
    <t>974TJ</t>
  </si>
  <si>
    <t>WOS:000232614000006</t>
  </si>
  <si>
    <t>Vivier, F; Kelly, KA; Harismendy, M</t>
  </si>
  <si>
    <t>Causes of large-scale sea level variations in the Southern Ocean: Analyses of sea level and a barotropic model</t>
  </si>
  <si>
    <t>ANTARCTIC CIRCUMPOLAR CURRENT; LINEAR HOMOGENEOUS MODEL; INDIAN SECTOR; NORTH PACIFIC; DRAKE PASSAGE; ANNULAR MODE; VARIABILITY; CIRCULATION; ALTIMETER; TOPEX/POSEIDON</t>
  </si>
  <si>
    <t>We analyze a decade of sea surface height (SSH) measurements in the Southern Ocean from the TOPEX/Poseidon and ERS altimeters, with a focus on the variability at timescales &lt;2 years. Among the different processes contributing to large-scale SSH variations, the barotropic response to the winds dominates poleward of 50 degrees S, while thermosteric processes dominate equatorward, except for resonant basins for the barotropic modes and regions of intense eddy activity. A finite element barotropic model has been developed to analyze the vorticity budget. The SSH from the model agrees well with observations. The leading barotropic mode, which is annular and is confined near Antarctica, is responsible for most of the barotropic circumpolar transport. It is coherent with the zonally integrated eastward wind stress consistent with a free mode response. Although previously evidenced in bottom pressure data, this mode is only partially seen in altimeter data because of ice coverage. It nevertheless distinctly appears above the Pacific ridges where it expands meridionally up to midlatitudes. In the rest of the domain, several regions coherent with the local wind stress curl are found. These are regions isolated by f/H contours, mostly deep basins. An analysis of the vorticity budget shows that, generally, topographic Sverdrup balance is the leading process for periods &gt;= 50 days, but in some regions (resonant basins), diffusive and nonstationary terms are important. A model experiment shows that transients redistribute energy along f/H waveguides, contributing to drain resonant regions, as was hypothesized in previous works.</t>
  </si>
  <si>
    <t>Univ Paris 06, Lab Oceanog Dynam &amp; Climatol, Inst Pierre Simon de Laplace, F-75252 Paris, France; Univ Washington, Appl Phys Lab, Seattle, WA 98195 USA</t>
  </si>
  <si>
    <t>Sorbonne Universite; University of Washington; University of Washington Seattle</t>
  </si>
  <si>
    <t>Univ Paris 06, Lab Oceanog Dynam &amp; Climatol, Inst Pierre Simon de Laplace, 4 Pl Jussieu, F-75252 Paris, France.</t>
  </si>
  <si>
    <t>fvi@lodyc.jussieu.fr</t>
  </si>
  <si>
    <t>Vivier, Frederic/0000-0003-2539-4133</t>
  </si>
  <si>
    <t>SEP 23</t>
  </si>
  <si>
    <t>C9</t>
  </si>
  <si>
    <t>C09014</t>
  </si>
  <si>
    <t>10.1029/2004JC002773</t>
  </si>
  <si>
    <t>968RY</t>
  </si>
  <si>
    <t>WOS:000232181100005</t>
  </si>
  <si>
    <t>Nevitt, GA; Bonadonna, F</t>
  </si>
  <si>
    <t>Sensitivity to dimethyl sulphide suggests a mechanism for olfactory navigation by seabirds</t>
  </si>
  <si>
    <t>procellariiform seabird; dimethyl sulphide; navigation; orientation; Antarctic</t>
  </si>
  <si>
    <t>ANTARCTIC PROCELLARIIFORM SEABIRDS; ORIENTATION; ALBATROSS; SEAWATER; SEA</t>
  </si>
  <si>
    <t>Petrels, albatrosses and other procellariiform seabirds have an excellent sense of smell, and routinely navigate over the world's oceans by mechanisms that are not well understood. These birds travel thousands of kilometres to forage on ephemeral prey patches at variable locations, yet they can quickly and efficiently find their way back to their nests on remote islands to provision chicks, even with magnetic senses experimentally disrupted. Over the seemingly featureless ocean environment, local emissions of scents released by phytoplankton reflect bathymetric features such as shelf breaks and seamounts. These features suggest an odour landscape that may provide birds with orientation cues. We have previously shown that concentrated experimental deployments of one such compound, dimethyl sulphide (DMS), attracts procellariforms at sea, suggesting that some species can use it as a foraging cue. Here we present the first physiological demonstration that an Antarctic seabird can detect DMS at biogenic levels. We further show that birds can use DMS as an orientation cue in a non-foraging context within a concentration range that they might naturally encounter over the ocean.</t>
  </si>
  <si>
    <t>Univ Calif Davis, Ctr Anim Behav, Sect Neurobiol Physiol &amp; Behav, Davis, CA 95616 USA; CNRS, CEFE, Behav Ecol Grp, F-34293 Montpellier, France</t>
  </si>
  <si>
    <t>University of California System; University of California Davis; Universite PSL; Ecole Pratique des Hautes Etudes (EPHE); Institut Agro; Montpellier SupAgro; CIRAD; Centre National de la Recherche Scientifique (CNRS); Institut de Recherche pour le Developpement (IRD); Universite Paul-Valery; Universite de Montpellier</t>
  </si>
  <si>
    <t>Nevitt, GA (corresponding author), Univ Calif Davis, Ctr Anim Behav, Sect Neurobiol Physiol &amp; Behav, Davis, CA 95616 USA.</t>
  </si>
  <si>
    <t>Bonadonna, Francesco/A-7456-2008</t>
  </si>
  <si>
    <t>Bonadonna, Francesco/0000-0002-2702-5801</t>
  </si>
  <si>
    <t>SEP 22</t>
  </si>
  <si>
    <t>10.1098/rsbl.2005.0350</t>
  </si>
  <si>
    <t>968NX</t>
  </si>
  <si>
    <t>WOS:000232170300014</t>
  </si>
  <si>
    <t>Vanhellemont, F; Fussen, D; Bingen, C; Kyrölä, E; Tamminen, J; Sofieva, V; Hassinen, S; Verronen, P; Seppälä, A; Bertaux, JL; Hauchecorne, A; Dalaudier, F; d'Andon, OF; Barrot, G; Mangin, A; Theodore, B; Guirlet, M; Renard, JB; Fraisse, R; Snoeij, P; Koopman, R; Saavedra, L</t>
  </si>
  <si>
    <t>A 2003 stratospheric aerosol extinction and PSC climatology from GOMOS measurements on Envisat</t>
  </si>
  <si>
    <t>ERUPTIONS; DEPLETION</t>
  </si>
  <si>
    <t>Stratospheric aerosols play an important role in a number of atmospheric issues such as midlatitude ozone depletion, atmospheric dynamics and the Earth radiative budget. Polar stratospheric clouds on the other hand are a crucial factor in the yearly Arctic and Antarctic ozone depletion. It is therefore important to quantify the stratospheric aerosol/PSC abundance. In orbit since March 2002, the GOMOS instrument onboard the European Envisat satellite has provided a vast aerosol extinction data set. In this paper we present aerosol/PSC zonal median values that were constructed from this data set, together with a discussion of the results.</t>
  </si>
  <si>
    <t>Inst Aeron Spatiale Belgique, B-1180 Brussels, Belgium; Finnish Meteorol Inst, Earth Observ, FIN-00101 Helsinki, Finland; CNRS, Serv Aeron, F-91371 Verrieres Le Buisson, France; ACRI ST, Sophia Antipolis, France; CNRS, LPCE, F-45071 Orleans, France; Astrium SAS, Toulouse, France; ESA, ESTEC, Noordwijk, Netherlands; ESA, ESRIN, Frascati, Italy</t>
  </si>
  <si>
    <t>Finnish Meteorological Institute; Centre National de la Recherche Scientifique (CNRS); Centre National de la Recherche Scientifique (CNRS); Airbus; EADS Astrium; European Space Agency; European Space Agency</t>
  </si>
  <si>
    <t>Inst Aeron Spatiale Belgique, B-1180 Brussels, Belgium.</t>
  </si>
  <si>
    <t>filip.vanhellemont@oma.be</t>
  </si>
  <si>
    <t>Kyrölä, Erkki T/E-1835-2014; Verronen, Pekka T/G-6658-2014; Hauchecorne, Alain/A-8489-2013; Verronen, P. T./AIE-0203-2022; Tamminen, Johanna/D-7959-2014; Seppälä, Annika/C-8031-2014; Sofieva, Viktoria/E-1958-2014</t>
  </si>
  <si>
    <t>Verronen, P. T./0000-0002-3479-9071; Tamminen, Johanna/0000-0003-3095-0069; Seppälä, Annika/0000-0002-5028-8220; Hassinen, Seppo/0000-0002-5025-205X; Hauchecorne, Alain/0000-0001-9888-6994; Sofieva, Viktoria/0000-0002-9192-2208</t>
  </si>
  <si>
    <t>SEP 20</t>
  </si>
  <si>
    <t>10.5194/acp-5-2413-2005</t>
  </si>
  <si>
    <t>965XE</t>
  </si>
  <si>
    <t>WOS:000231983400001</t>
  </si>
  <si>
    <t>Palm, SP; Fromm, M; Spinhirne, J</t>
  </si>
  <si>
    <t>Observations of antarctic polar stratospheric clouds by the Geoscience Laser Altimeter System (GLAS)</t>
  </si>
  <si>
    <t>SAM-II; WINTER</t>
  </si>
  <si>
    <t>We present the first satellite lidar observations of Polar Stratospheric Clouds (PSCs). During late September and early October 2003, GLAS frequently observed type I and II PSCs over western Antarctica. At the peak of this activity on September 29 and 30 we investigate the vertical structure, horizontal coverage and general characteristics of the PSCs using the GLAS data. The PSCs were found to cover a relatively large area in a region where enhanced PSC frequency has been noted by previous PSC climatology studies. We also show near simultaneous measurements from the POAM III and SAGE II satellites that confirm the presence of type I and II PSCs in the same region. The area of PSC formation was found to coincide with the coldest temperatures and highest geopotential height in the lower stratosphere. In addition, extensive cloudiness was seen within the troposphere below the PSCs indicating that tropospheric disturbances played a role in their formation.</t>
  </si>
  <si>
    <t>Sci Syst &amp; Applicat Inc, Lanham, MD 20706 USA; USN, Res Lab, Washington, DC 20375 USA; NASA, Goddard Space Flight Ctr, Greenbelt, MD 20771 USA</t>
  </si>
  <si>
    <t>Science Systems and Applications Inc; United States Department of Defense; United States Navy; Naval Research Laboratory; National Aeronautics &amp; Space Administration (NASA); NASA Goddard Space Flight Center</t>
  </si>
  <si>
    <t>Sci Syst &amp; Applicat Inc, 10210 Greenbelt Rd,Suite 600, Lanham, MD 20706 USA.</t>
  </si>
  <si>
    <t>spp@virl.gsfc.nasa.gov; mike.fromm@nrl.navy.mil; jspin@virl.gsfc.nasa.gov</t>
  </si>
  <si>
    <t>Spinhirne, James D/D-2541-2011; Fromm, Michael/F-4639-2010</t>
  </si>
  <si>
    <t>L22S04</t>
  </si>
  <si>
    <t>10.1029/2005GL023524</t>
  </si>
  <si>
    <t>968QT</t>
  </si>
  <si>
    <t>WOS:000232177900001</t>
  </si>
  <si>
    <t>Lu, H; Moran, CJ; Sivapalan, M</t>
  </si>
  <si>
    <t>A theoretical exploration of catchment-scale sediment delivery</t>
  </si>
  <si>
    <t>WATER RESOURCES RESEARCH</t>
  </si>
  <si>
    <t>SOIL-EROSION MODEL; BASIN RESPONSE; RIVER SEDIMENT; YIELD; TRANSPORT; RUNOFF; WATER; LINEARITY; DRAINAGE; AREA</t>
  </si>
  <si>
    <t>This paper proposes a theoretical explanation of the variations of the sediment delivery ratio (SDR) versus catchment area relationships and the complex patterns in the behavior of sediment transfer processes at catchment scale. Taking into account the effects of erosion source types, deposition, and hydrological controls, we propose a simple conceptual model that consists of two linear stores arranged in series: a hillslope store that addresses transport to the nearest streams and a channel store that addresses sediment routing in the channel network. The model identifies four dimensionless scaling factors, which enable us to analyze a variety of effects on SDR estimation, including (1) interacting processes of erosion sources and deposition, (2) different temporal averaging windows, and (3) catchment runoff response. We show that the interactions between storm duration and hillslope/channel travel times are the major controls of peak-value-based sediment delivery and its spatial variations. The interplay between depositional timescales and the travel/residence times determines the spatial variations of total-volume-based SDR. In practical terms this parsimonious, minimal complexity model could provide a sound physical basis for diagnosing catchment to catchment variability of sediment transport if the proposed scaling factors can be quantified using climatic and catchment properties.</t>
  </si>
  <si>
    <t>CSIRO Land &amp; Water, Canberra, ACT, Australia; Univ Cambridge, Inst Theoret Geophys, Cambridge, England; Univ Queensland, Ctr Water Minerals Ind, Brisbane, Qld 4072, Australia; Univ Western Australia, Ctr Water Res, Crawley, WA, Australia</t>
  </si>
  <si>
    <t>Commonwealth Scientific &amp; Industrial Research Organisation (CSIRO); CSIRO Land &amp; Water; University of Cambridge; University of Queensland; University of Western Australia</t>
  </si>
  <si>
    <t>Lu, Hua/GXA-0276-2022; Sivapalan, Murugesu/A-3538-2008; Moran, Chris/B-7265-2016</t>
  </si>
  <si>
    <t>Lu, Hua/0000-0001-9485-5082; Moran, Chris/0000-0003-1487-5281</t>
  </si>
  <si>
    <t>0043-1397</t>
  </si>
  <si>
    <t>1944-7973</t>
  </si>
  <si>
    <t>WATER RESOUR RES</t>
  </si>
  <si>
    <t>Water Resour. Res.</t>
  </si>
  <si>
    <t>W09415</t>
  </si>
  <si>
    <t>10.1029/2005WR004018</t>
  </si>
  <si>
    <t>Environmental Sciences; Limnology; Water Resources</t>
  </si>
  <si>
    <t>Environmental Sciences &amp; Ecology; Marine &amp; Freshwater Biology; Water Resources</t>
  </si>
  <si>
    <t>968TK</t>
  </si>
  <si>
    <t>WOS:000232185100004</t>
  </si>
  <si>
    <t>Haapala, J; Lönnroth, N; Stössel, A</t>
  </si>
  <si>
    <t>A numerical study of open water formation in sea ice -: art. no. C09011</t>
  </si>
  <si>
    <t>GLOBAL OCEAN MODEL; WEDDELL SEA; THICKNESS DISTRIBUTION; COASTAL POLYNYAS; INTERANNUAL VARIABILITY; REDISTRIBUTION; DEFORMATION; SIMULATION; SALINITY; DYNAMICS</t>
  </si>
  <si>
    <t>A multicategory sea ice model that explicitly takes into account redistribution of undeformed ice into categories of ridged and rafted ice is introduced with the intention of investigating the simulation of the open water fraction within sea ice. The performance of this model is compared with that of a reduced model that accounts for only two categories, the latter type of sea-ice model being most widely used in global climate models. Two idealized scenarios are considered: polynya formation along a coastline under offshore winds and a low-pressure system passing over an ice field. Furthermore, the two models are compared under more real-world forcing conditions as they exist in the Weddell Sea. In simplified situations, both models produce identical results. Upon introduction of more realistic ambient conditions, however, the multicategory model produces larger open water fractions than the two-level model. Concomitantly, and consistently with earlier findings, the multicategory model produces thicker ice. This is a result of the larger horizontal gradients of ice motion which, in turn, are due to the weaker ice strength that arises from a higher abundance of thinner ice. This leads to more open water as well as increased dynamical growth of ice. The open water fraction is of relevance in global ocean circulation models, where the amount of open water influences the deep- and bottom-water formation rates such as in conjunction with Antarctic coastal polynyas.</t>
  </si>
  <si>
    <t>Finnish Inst Marine Res, FIN-00931 Helsinki, Finland; Univ Helsinki, Div Geophys, Helsinki, Finland; Texas A&amp;M Univ, Dept Oceanog, College Stn, TX 77843 USA</t>
  </si>
  <si>
    <t>University of Helsinki; Texas A&amp;M University System; Texas A&amp;M University College Station</t>
  </si>
  <si>
    <t>Finnish Inst Marine Res, POB 33, FIN-00931 Helsinki, Finland.</t>
  </si>
  <si>
    <t>jari.haapala@fimr.fi</t>
  </si>
  <si>
    <t>SEP 17</t>
  </si>
  <si>
    <t>C09011</t>
  </si>
  <si>
    <t>10.1029/2003JC002200</t>
  </si>
  <si>
    <t>967SJ</t>
  </si>
  <si>
    <t>WOS:000232111200001</t>
  </si>
  <si>
    <t>Clilverd, MA; Rodger, CJ; Ulich, T; Seppälä, A; Turunen, E; Botman, A; Thomson, NR</t>
  </si>
  <si>
    <t>Modeling a large solar proton event in the southern polar atmosphere -: art. no. A09307</t>
  </si>
  <si>
    <t>PARTICLE EVENTS; VLF SIGNALS; D-REGION; PHASE; TRANSMISSIONS; PERTURBATIONS; PRECIPITATION; THERMOSPHERE; MESOSPHERE; DIFFUSION</t>
  </si>
  <si>
    <t>We have modeled the effects of the Sodankyla Ion Chemistry model (SIC) electron density profiles on VLF propagation across the southern polar region during the first few days of the 4-10 November 2001 solar proton event (SPE). The results show that the SIC model is accurately reproducing the changes in ionization during the SPE. These results were obtained by approximating the SIC electron density profiles to the Wait beta and h' profiles where the densities were below 1000 el cm(-3), a limitation that means during SPEs the technique is typically sensitive in the altitude range 50-60 km. The calculated values of beta and h' were applied to the part of the propagation path poleward of the L = 4 boundary for the Hawaii (NPM)-Halley great circle path. Comparing the change in amplitude of NPM at Halley during the SPE with the GOES satellite proton flux measurements, we observe a good correlation and thus conclude that the variability observed in the VLF data is primarily caused by &gt;50 MeV proton fluxes. This suggests that the SPE produced ionization dominates all other precipitation sources at these altitudes during 4 and 5 November 2001. Consequently, these results suggest that the assumption made during the SIC modeling runs of 4-5 November 2001 of only having proton precipitation and no significant energetic electron precipitation was reasonable. Our work strongly suggests that VLF subionospheric propagation is a reliable tool for the study of SPEs and that it is particularly effective when used in conjunction with an atmospheric model such as SIC.</t>
  </si>
  <si>
    <t>British Antarctic Survey, NERC, Div Phys Sci, Cambridge CB3 0ET, England; Univ Otago, Dept Phys, Dunedin, New Zealand; Univ Oulu, Sodankyla Geophys Observ, FIN-99600 Sodankyla, Finland; Finnish Meteorol Inst, FIN-00101 Helsinki, Finland</t>
  </si>
  <si>
    <t>UK Research &amp; Innovation (UKRI); Natural Environment Research Council (NERC); NERC British Antarctic Survey; University of Otago; University of Oulu; Finnish Meteorological Institute</t>
  </si>
  <si>
    <t>British Antarctic Survey, NERC, Div Phys Sci, Madingley Rd, Cambridge CB3 0ET, England.</t>
  </si>
  <si>
    <t>m.clilverd@bas.ac.uk; crodger@physics.otago.ac.nz; thu@sgo.fi; annika.seppala@fmi.fi; esa@sgo.fi; aurelien.botman@cantab.net; thomson@physics.otago.ac.nz</t>
  </si>
  <si>
    <t>Ulich, Thomas/G-3727-2018; Seppälä, Annika/C-8031-2014; Rodger, Craig/A-1501-2011</t>
  </si>
  <si>
    <t>Ulich, Thomas/0000-0001-8217-022X; Seppälä, Annika/0000-0002-5028-8220; Turunen, Esa/0000-0001-8232-8744; Rodger, Craig J./0000-0002-6770-2707</t>
  </si>
  <si>
    <t>A09307</t>
  </si>
  <si>
    <t>10.1029/2004JA010922</t>
  </si>
  <si>
    <t>967SW</t>
  </si>
  <si>
    <t>WOS:000232112500004</t>
  </si>
  <si>
    <t>Sloyan, BM</t>
  </si>
  <si>
    <t>Spatial variability of mixing in the Southern Ocean</t>
  </si>
  <si>
    <t>ROUGH TOPOGRAPHY; INTERNAL WAVES; ABYSSAL OCEAN; DISSIPATION; ENERGY; CIRCULATION; ATLANTIC</t>
  </si>
  <si>
    <t>Strain variance from standard hydrographic profiles in the southern hemisphere oceans shows that turbulent mixing is vertically and spatially non-uniform. In the South Atlantic, Indian and South Pacific Oceans, enhanced diffusivities are found over rough topography. Consistent with internal tide generated mixing, the water column diffusivity returns to background levels 500 m to 1000 m off the sea floor. In the Southern Ocean, enhanced diffusivities throughout the entire water column below 1500 m are found in the Antarctic Circumpolar Current over complex topography. Differences in the vertical extent of enhanced diffusivity profiles in the Antarctic Circumpolar Current between the parameterizations based on tidal models and topography and of the present estimate of strain variance imply that elevated vertical diffusivity profiles in the Southern Ocean are due to the interaction between the mean geostrophic current and bottom topography.</t>
  </si>
  <si>
    <t>Woods Hole Oceanog Inst, Dept Phys Oceanog, Woods Hole, MA 02543 USA</t>
  </si>
  <si>
    <t>Woods Hole Oceanographic Institution</t>
  </si>
  <si>
    <t>Sloyan, BM (corresponding author), CSIRO Marine &amp; Atmospher Res, GPO Box 1538, Hobart, Tas 7001, Australia.</t>
  </si>
  <si>
    <t>Bernadette.Sloyan@csiro.au</t>
  </si>
  <si>
    <t>Sloyan, Bernadette/N-8989-2014</t>
  </si>
  <si>
    <t>Sloyan, Bernadette/0000-0003-0250-0167</t>
  </si>
  <si>
    <t>SEP 16</t>
  </si>
  <si>
    <t>L18603</t>
  </si>
  <si>
    <t>10.1029/2005GL023568</t>
  </si>
  <si>
    <t>967SA</t>
  </si>
  <si>
    <t>WOS:000232110300004</t>
  </si>
  <si>
    <t>Anderson, LD; Delaney, ML</t>
  </si>
  <si>
    <t>Use of multiproxy records on the Agulhas Ridge, Southern Ocean (Ocean Drilling Project Leg 177, Site 1090) to investigate sub-Antarctic hydrography from the Oligocene to the early Miocene</t>
  </si>
  <si>
    <t>WESTERN NORTH-ATLANTIC; MARINE-SEDIMENTS; DEEP-SEA; OVERTURNING CIRCULATION; EQUATORIAL ATLANTIC; CONTINENTAL-CRUST; ATMOSPHERIC CO2; BARIUM FLUXES; PACIFIC-OCEAN; ODP SITE-1090</t>
  </si>
  <si>
    <t>[ 1] Ocean Drilling Program (ODP) Site 1090, on the Agulhas Ridge in the South Atlantic sector of the Southern Ocean, is ideally located to capture changes in Southern Ocean circulation patterns. Using samples taken from cored sediments, we construct multiproxy records of productivity (biogenic barium (Ba-ex), opal, and CaCO3 mass accumulation rates (MARs)), nutrient and organic carbon burial ( reactive phosphorus (P-r) MARs), and redox conditions ( U and Mn enrichments) to investigate hydrographic conditions associated with climatic shifts from the Oligocene through the early Miocene. Orbitally induced cyclicity in U and Mn enrichments ( 100 kyr) suggests shifts in deepwater characteristics. However, CaCO3 dissolution coincident with low U and Mn enrichments does not indicate low-oxygen, corrosive waters similar to modern conditions. These observations indicate that a well-developed modern-type'' Antarctic Circumpolar Current (ACC) did not yet exist over the period from 30 to 20 Ma, with two potential consequences: The Southern Ocean was not functioning as a silica trap, permitting a broader distribution of silica that may have facilitated organic carbon burial in the ocean in general, and the lack of a deeply mixing ACC may have facilitated organic carbon burial in the Southern Ocean. Both the relative ( high opal MARs coincident with low CaCO3 MARs) and absolute ( high Pr MARs) burial of organic carbon suggest a powerful mechanism for pCO(2) drawdown.</t>
  </si>
  <si>
    <t>Univ Calif Santa Cruz, Inst Marine Sci, Santa Cruz, CA 95064 USA; Univ Calif Santa Cruz, Ocean Sci Dept, Santa Cruz, CA 95064 USA</t>
  </si>
  <si>
    <t>University of California System; University of California Santa Cruz; University of California System; University of California Santa Cruz</t>
  </si>
  <si>
    <t>Univ Calif Santa Cruz, Inst Marine Sci, 1156 High St, Santa Cruz, CA 95064 USA.</t>
  </si>
  <si>
    <t>linda@ucsc.edu; delaney@ucsc.edu</t>
  </si>
  <si>
    <t>PA3011</t>
  </si>
  <si>
    <t>10.1029/2004PA001082</t>
  </si>
  <si>
    <t>967SY</t>
  </si>
  <si>
    <t>WOS:000232112700001</t>
  </si>
  <si>
    <t>Bamber, J; Gomez-Dans, JL</t>
  </si>
  <si>
    <t>The accuracy of digital elevation models of the Antarctic continent</t>
  </si>
  <si>
    <t>Antarctica; digital elevation model; satellite altimetry; ICESat</t>
  </si>
  <si>
    <t>MASS-BALANCE; ALTIMETER DATA; POLAR ICE</t>
  </si>
  <si>
    <t>The accuracy of two widely used digital elevation models of Antarctica was assessed using data from the Geoscience Laser Altimeter System onboard ICESat. The digital elevation models were derived from satellite radar altimeter and terrestrial data sets. The first, termed JLB97, was produced predominantly from ERS-1 data while the second, termed, RAMPv2 included other sources of data in areas of high relief and poor coverage by ERS-1. The accuracy of the models was examined as a function of surface slope and original data source. Large errors, in excess of 100 m, were ubiquitous in both models in areas where terrestrially-derived elevation data had been used but were more extensive in RAMPv2. Elsewhere, the systematic error (bias) was found to be a monotonic function of slope for JL1397, with a more complex, less predictable bias for RAMPv2. The magnitude of the global, slope-dependent, bias ranged from less than a metre to slightly over 10 m but with much larger regional deviations. The random error ranged from about 1 m to over 100 m depending on the DEM and slope. The random error was consistently over a factor two larger for RAMPv2 compared to JL1397. (c) 2005 Elsevier B.V. All rights reserved.</t>
  </si>
  <si>
    <t>Univ Bristol, Sch Geog Sci, Ctr Polar Observat &amp; Modelling, Bristol, Avon, England</t>
  </si>
  <si>
    <t>University of Bristol</t>
  </si>
  <si>
    <t>Univ Bristol, Sch Geog Sci, Ctr Polar Observat &amp; Modelling, Bristol, Avon, England.</t>
  </si>
  <si>
    <t>j.bamber@bristol.ac.uk</t>
  </si>
  <si>
    <t>Bamber, Jonathan/C-7608-2011</t>
  </si>
  <si>
    <t>Bamber, Jonathan/0000-0002-2280-2819; Gomez-Dans, Jose/0000-0003-4787-8307</t>
  </si>
  <si>
    <t>SEP 15</t>
  </si>
  <si>
    <t>10.1016/j.epsl.2005.06.008</t>
  </si>
  <si>
    <t>968IJ</t>
  </si>
  <si>
    <t>WOS:000232155200014</t>
  </si>
  <si>
    <t>Moore, GWK; Renfrew, IA</t>
  </si>
  <si>
    <t>Tip jets and barrier winds: A QuikSCAT climatology of high wind speed events around Greenland</t>
  </si>
  <si>
    <t>LABRADOR SEA; NORTH-ATLANTIC; IRMINGER SEA; POLAR LOW; ANTARCTIC PENINSULA; OCEAN; SCALE; IMPACT; FLUX; FLOW</t>
  </si>
  <si>
    <t>The high topography of Greenland results in a number of orographically induced high wind speed flows along its coast that are of interest from both a severe weather and climate perspective. Here the surface wind field dataset from the NASA-JPL SeaWinds scatterometer on board the Quick Scatterometer (Quik-SCAT) satellite is used to develop a wintertime climatology of these flows. The high spatial resolution and the twice-daily sampling of the SeaWinds instrument allows for a much more detailed view of the surface winds around Greenland than has been previously possible. Three phenomena stand out as the most distinctive features of the surface wind field during the winter months: the previously identified tip jets and reverse tip jets, as well as the hitherto unrecognized barrier flows along its southeast coast in the vicinity of the Denmark Strait. Peak surface wind speeds associated with these phenomena can be as large as 50 m s(-1) with winds over 25 m s(-1) occurring approximately 10%-15% of the time at each location. A compositing technique is used to show that each type of flow is the result of an interaction between a synoptic-scale parent cyclone and the high topography of Greenland. In keeping with previous work, it is argued that tip jets are caused by a combination of conservation of the Bernoulli function during orographic descent and acceleration due to flow splitting as stable air passes around Cape Farewell, while barrier winds are a geostrophic response to stable air being forced against high topography. It is proposed that reverse tip jets occur when barrier winds reach the end of the topographic barrier and move from a geostrophic to a gradient wind balance, becoming supergeostrophic as a result of their anticyclonic curvature.</t>
  </si>
  <si>
    <t>Univ Toronto, Dept Phys, Toronto, ON M5S 1A7, Canada; Univ E Anglia, Sch Environm Sci, Norwich NR4 7TJ, Norfolk, England</t>
  </si>
  <si>
    <t>University of Toronto; University of East Anglia</t>
  </si>
  <si>
    <t>Univ Toronto, Dept Phys, 60 St George St, Toronto, ON M5S 1A7, Canada.</t>
  </si>
  <si>
    <t>moore@atmosp.physics.utoronto.ca</t>
  </si>
  <si>
    <t>Renfrew, Ian A/E-4057-2010; Moore, George Kent/D-8518-2011</t>
  </si>
  <si>
    <t>Moore, George Kent/0000-0002-3986-5605; Renfrew, Ian/0000-0001-9379-8215</t>
  </si>
  <si>
    <t>10.1175/JCLI3455.1</t>
  </si>
  <si>
    <t>975BI</t>
  </si>
  <si>
    <t>WOS:000232635600001</t>
  </si>
  <si>
    <t>Shoutilin, SV; Makshtas, AP; Ikeda, M; Marchenko, AV; Bekryaev, RV</t>
  </si>
  <si>
    <t>Dynamic-thermodynamic sea ice model: Ridging and its application to climate study and navigation</t>
  </si>
  <si>
    <t>INTERANNUAL VARIABILITY; RECENT DECREASE; ARCTIC-OCEAN; PACK ICE; THICKNESS; COVER; DRIVEN; SIMULATION; PRESSURE; TREND</t>
  </si>
  <si>
    <t>A dynamic-thermodynamic sea ice model with the ocean mixed layer forced by atmospheric data is used to investigate spatial and long-term variability of the sea ice cover in the Arctic basin. The model satisfactorily reproduces the averaged main characteristics of the sea ice and its extent in the Arctic Basin, as well as its decrease in the early 1990s. Employment of the average ridge shape for describing the ridging allows the authors to suggest that it occurs in winter and varies from year to year by a factor of 2, depending on an atmospheric circulation pattern. Production and horizontal movement of ridges are the focus in this paper, as they show the importance of interannual variability of the Arctic ice cover. The observed thinning in the 1990s is a result of reduction in ridge formation on the Pacific side during the cyclonic phase of the Arctic Oscillation. The model yields a partial recovery of sea ice cover in the last few years of the twentieth century. In addition to the sea ice cover and average thickness compared with satellite data, the ridge amount is verified with observations taken in the vicinity of the Russian coast. The model results are useful to estimate long-term variability of the probability of ridge-free navigation in different parts of the Arctic Ocean, including the Northern Sea Route area.</t>
  </si>
  <si>
    <t>Hokkaido Univ, Grad Sch Environm Earth Sci, Kita Ku, Sapporo, Hokkaido 0600810, Japan; Arctic &amp; Antarctic Res Inst, St Petersburg 199226, Russia; Univ Alaska Fairbanks, Int Arctic Res Ctr, Fairbanks, AK USA; Seoul Natl Univ, Seoul 151, South Korea</t>
  </si>
  <si>
    <t>Hokkaido University; Arctic &amp; Antarctic Research Institute; University of Alaska System; University of Alaska Fairbanks; Seoul National University (SNU)</t>
  </si>
  <si>
    <t>Hokkaido Univ, Grad Sch Environm Earth Sci, Kita Ku, Nishi 5 Kita 10, Sapporo, Hokkaido 0600810, Japan.</t>
  </si>
  <si>
    <t>mikeda@ees.hokudai.ac.jp</t>
  </si>
  <si>
    <t>10.1175/JCLI3484.1</t>
  </si>
  <si>
    <t>WOS:000232635600009</t>
  </si>
  <si>
    <t>Smetacek, V; Nicol, S</t>
  </si>
  <si>
    <t>Polar ocean ecosystems in a changing world</t>
  </si>
  <si>
    <t>KRILL EUPHAUSIA-SUPERBA; SEA-ICE EXTENT; SOUTHERN-OCEAN; ANTARCTIC KRILL; MARINE ECOSYSTEMS; CLIMATE-CHANGE; PACK-ICE; ABUNDANCE; IRON; DECLINE</t>
  </si>
  <si>
    <t>Polar organisms have adapted their seasonal cycles to the dynamic interface between ice and water. This interface ranges from the micrometre-sized brine channels within sea ice to the planetary-scale advance and retreat of sea ice. Polar marine ecosystems are particularly sensitive to climate change because small temperature differences can have large effects on the extent and thickness of sea ice. Little is known about the interactions between large, long-lived organisms and their planktonic food supply. Disentangling the effects of human exploitation of upper trophic levels from basin-wide, decade-scale climate cycles to identify long-term, global trends is a daunting challenge facing polar bio-oceanography.</t>
  </si>
  <si>
    <t>Alfred Wegener Inst Polar &amp; Marine Res, D-27570 Bremerhaven, Germany; Australian Antarctic Div, Dept Environm &amp; Heritage, Kingston, Tas 7050, Australia</t>
  </si>
  <si>
    <t>Helmholtz Association; Alfred Wegener Institute, Helmholtz Centre for Polar &amp; Marine Research; Australian Antarctic Division</t>
  </si>
  <si>
    <t>vsmetacek@awi-bremerhaven.de</t>
  </si>
  <si>
    <t>10.1038/nature04161</t>
  </si>
  <si>
    <t>964AS</t>
  </si>
  <si>
    <t>WOS:000231849100043</t>
  </si>
  <si>
    <t>Alvarez, M; Pérez, FF; Shoosmith, DR; Bryden, HL</t>
  </si>
  <si>
    <t>Unaccounted role of Mediterranean Water in the drawdown of anthropogenic carbon -: art. no. C09S03</t>
  </si>
  <si>
    <t>NORTH-ATLANTIC OCEAN; DISSOLVED INORGANIC CARBON; INTERMEDIATE WATER; LABRADOR SEA; IBERIAN PENINSULA; EASTERN BOUNDARY; MIXING ANALYSIS; FLOW PATTERNS; SALT LENS; CIRCULATION</t>
  </si>
  <si>
    <t>[1] A three-sided box, MedBox, comprising the Strait of Gibraltar, 24 degrees - 41 degrees N east of 22 degrees W, was constructed using hydrographic and chemical data from three World Ocean Circulation Experiment cruises in 1997 - 1998. An extended optimum multiparameter (OMP) analysis resolves the water mass structure in the MedBox. The mass transport is estimated from data and models warranting mass conservation and no deep water formation within the region. Combining the mass transport, the OMP analysis, and the spatial distribution of anthropogenic carbon (C-ANT), some relevant questions about the Mediterranean Water ( MW) formation, transport, and role in the global CO2 cycle are resolved. MW is produced at a rate of 2.7 +/- 0.2 Sv in the eastern North Atlantic. It entrains 2.3 Sv of central waters during its formation, including also remnants of Antarctic Intermediate Water. The main advection route of MW is northward, close to the Iberian margin (2.2 Sv), while about 0.5 Sv are exported into the subtropical eastern North Atlantic. The eastern North Atlantic within the MedBox is a strong region of air-sea C-ANT uptake, 0.7 +/- 0.7 mmol m(-2) d(-1), where C-ANT is accumulated at a rate of 66 +/- 21 kmol s(-1) (0.025 GtC yr(-1)), 17% are taken up through the air-sea interface, and the rest is advected into the area by the circulation. The entrainment of central waters to form MW drives a drawdown of 151 +/- 14 kmol s(-1) (0.06 GtC yr(-1)) from the surface to intermediate levels, and 88 +/- 8 kmol s(-1) (0.03 GtC yr(-1)) are exported with MW into the North Atlantic, mainly by the horizontal/ eddy circulation.</t>
  </si>
  <si>
    <t>Inst Invest Marinas Punta Betin, E-36208 Vigo, Spain; Univ Miami, Rosenstiel Sch Marine &amp; Atmospher Sci, Miami, FL 33149 USA; Southampton Oceanog Ctr, Southampton SO14 3ZH, Hants, England</t>
  </si>
  <si>
    <t>Consejo Superior de Investigaciones Cientificas (CSIC); CSIC - Instituto de Investigaciones Marinas (IIM); University of Miami; NERC National Oceanography Centre; University of Southampton</t>
  </si>
  <si>
    <t>Inst Invest Marinas Punta Betin, C Eduardo Cabello 6, E-36208 Vigo, Spain.</t>
  </si>
  <si>
    <t>malvarez@iim.csic.es; fiz@iim.csic.es; dshoosmith@rsmas.miami.edu; h.bryden@soc.soton.ac.uk</t>
  </si>
  <si>
    <t>Álvarez, Marta/D-4367-2009; Fernandez Perez, Fiz/B-9001-2011</t>
  </si>
  <si>
    <t>Álvarez, Marta/0000-0002-5075-9344; Fernandez Perez, Fiz/0000-0003-4836-8974; Bryden, Harry/0000-0002-8216-6359</t>
  </si>
  <si>
    <t>SEP 14</t>
  </si>
  <si>
    <t>C09S03</t>
  </si>
  <si>
    <t>10.1029/2004JC002633</t>
  </si>
  <si>
    <t>967SH</t>
  </si>
  <si>
    <t>WOS:000232111000002</t>
  </si>
  <si>
    <t>Yuan, JC; Shiller, AM</t>
  </si>
  <si>
    <t>Distribution of hydrogen peroxide in the northwest Pacific Ocean</t>
  </si>
  <si>
    <t>DOC; H2O2; hydrogen peroxide; North Pacific Ocean; photochemistry; trace metals; oceanography : biological and chemical : chemical speciation and complexation; oceanography : biological and chemical : oxidation/reduction reactions; oceanography : biological and chemical : photochemistry</t>
  </si>
  <si>
    <t>WESTERN MEDITERRANEAN-SEA; CENTRAL ATLANTIC-OCEAN; PHOTOCHEMICAL FORMATION; CHEMILUMINESCENCE DETECTION; SURFACE WATERS; NATURAL-WATERS; ORINOCO RIVER; SEAWATER; H2O2; OXIDATION</t>
  </si>
  <si>
    <t>[1] Hydrogen peroxide (H2O2) is a reactive oxygen intermediate involved in the cycling of metals and dissolved organic matter. Because little is known of its distribution in the North Pacific Ocean, we determined H2O2 in surface waters continuously and obtained vertical profiles at nine stations during a cruise from Japan to Hawaii. Surface water H2O2 varied from less than 10 to more than 250 nmol dm(-3). A diel cycle in surface water H2O2 (similar to 25 nmol dm(-3)) was observed only on one day during the monthlong cruise. This is contrary to expectations based on the usual assumption of photo-production as the dominant input of H2O2. Experiments were also conducted during the cruise to examine both photo-production and dark decay. The net rate of photo-production at a station near Hawaii was determined to be 8 nmol dm(-3) h(-1), similar to rates reported for the central Atlantic Ocean and Antarctic. However, this maximum estimate of photo-production is also similar to probable rates of H2O2 input by other mechanisms ( biological production and rain). The pseudo-first-order rate constant for dark decay varied from 0.1 to 0.2 d(-1), which is toward the low end of previous reports of H2O2 decay rates, and was observed to increase proportionately to the dissolved organic carbon concentration. Taken together, these results suggest that photo-production of H2O2 in open ocean waters may be less important than previously thought and therefore H2O2 is likely less of an indicator of the photo-chemical reactivity of surface waters than hoped for. Furthermore, we observed that the H2O2 inventory for the upper 200 m of the water column has a maximum at midlatitudes. We suggest that this results from diminished inputs at high latitude as well as increased decay rates at low latitudes.</t>
  </si>
  <si>
    <t>Univ So Mississippi, Dept Marine Sci, Stennis Space Ctr, MS 39529 USA</t>
  </si>
  <si>
    <t>University of Southern Mississippi</t>
  </si>
  <si>
    <t>Yuan, JC (corresponding author), Univ So Mississippi, Dept Marine Sci, 1020 Balch Blvd, Stennis Space Ctr, MS 39529 USA.</t>
  </si>
  <si>
    <t>jinchun.yuan@usm.edu; alan.shiller@usm.edu</t>
  </si>
  <si>
    <t>Shiller, Alan/0000-0002-2068-7909</t>
  </si>
  <si>
    <t>SEP 13</t>
  </si>
  <si>
    <t>Q09M02</t>
  </si>
  <si>
    <t>10.1029/2004GC000908</t>
  </si>
  <si>
    <t>967RU</t>
  </si>
  <si>
    <t>WOS:000232109700001</t>
  </si>
  <si>
    <t>Rasmussen, SO; Andersen, KK; Johnsen, SJ; Bigler, M; McCormack, T</t>
  </si>
  <si>
    <t>Deconvolution-based resolution enhancement of chemical ice core records obtained by continuous flow analysis</t>
  </si>
  <si>
    <t>GREENLAND</t>
  </si>
  <si>
    <t>[1] Continuous flow analysis (CFA) has become a popular measuring technique for obtaining high-resolution chemical ice core records due to an attractive combination of measuring speed and resolution. However, when analyzing the deeper sections of ice cores or cores from low-accumulation areas, there is still need for further improvement of the resolution. Here a method for resolution enhancement of CFA data is presented. It is demonstrated that it is possible to improve the resolution of CFA data by restoring some of the detail that was lost in the measuring process, thus improving the usefulness of the data for high-resolution studies such as annual layer counting. The presented method uses deconvolution techniques and is robust to the presence of noise in the measurements. If integrated into the data processing, it requires no additional data collection. The method is applied to selected ice core data sequences from Greenland and Antarctica, and the results demonstrate that the data quality can be significantly improved.</t>
  </si>
  <si>
    <t>Univ Copenhagen, Niels Bohr Inst, DK-2100 Copenhagen, Denmark; Univ Bern, Inst Phys, Bern, Switzerland; British Antarctic Survey, Cambridge CB3 0ET, England</t>
  </si>
  <si>
    <t>University of Copenhagen; Niels Bohr Institute; University of Bern; UK Research &amp; Innovation (UKRI); Natural Environment Research Council (NERC); NERC British Antarctic Survey</t>
  </si>
  <si>
    <t>Univ Copenhagen, Niels Bohr Inst, Juliane Maries Vej 30, DK-2100 Copenhagen, Denmark.</t>
  </si>
  <si>
    <t>olander@gfy.ku.dk</t>
  </si>
  <si>
    <t>Rasmussen, Sune/B-5560-2008; Bigler, Matthias/HTT-3872-2023; Bishnoi, Mamta/AAQ-8346-2021; Rasmussen, Sune Olander/AAA-3190-2021; Andersen, Katrine Krogh/B-4082-2016</t>
  </si>
  <si>
    <t>Bigler, Matthias/0000-0003-0184-4013; Bishnoi, Mamta/0000-0003-4987-0536; Rasmussen, Sune Olander/0000-0002-4177-3611; Andersen, Katrine Krogh/0000-0003-4178-2195</t>
  </si>
  <si>
    <t>D17</t>
  </si>
  <si>
    <t>D17304</t>
  </si>
  <si>
    <t>10.1029/2004JD005717</t>
  </si>
  <si>
    <t>967SF</t>
  </si>
  <si>
    <t>Green Published, Bronze, Green Submitted</t>
  </si>
  <si>
    <t>WOS:000232110800003</t>
  </si>
  <si>
    <t>Joughin, I; Bamber, JL</t>
  </si>
  <si>
    <t>Thickening of the ice stream catchments feeding the Filchner-Ronne Ice Shelf, Antarctica</t>
  </si>
  <si>
    <t>DRONNING MAUD LAND; MASS-BALANCE; WEST ANTARCTICA; JAKOBSHAVN ISBRAE; GREENLAND; FLUCTUATIONS; ACCUMULATION; SHEET</t>
  </si>
  <si>
    <t>Earlier ice-sheet mass-balance estimates disagree with satellite-altimeter-measured thickening of the catchment area that feeds the Filchner-Ronne Ice Shelf, Antarctica. In an effort to reconcile these differences, we generated a new flux-gate mass-balance estimate, using improved elevation and velocity data. Our results show a 39 +/- 26 Gton/yr thickening, whereas earlier flux-gate results indicated minor thinning. Our results are consistent with altimeter-derived estimates of elevation change. This suggests that altimeter-observed thickening on the East Antarctic plateau may be the result of some combination of a 20th Century accumulation increase and a continuing response to the similar to 50% accumulation increase that began in the early Holocene.</t>
  </si>
  <si>
    <t>Univ Washington, Appl Phys Lab, Polar Sci Ctr, Seattle, WA 98105 USA; Univ Bristol, Ctr Polar Observat &amp; Modelling, Sch Geog Sci, Bristol BS8 1SS, Avon, England</t>
  </si>
  <si>
    <t>University of Washington; University of Washington Seattle; University of Bristol</t>
  </si>
  <si>
    <t>Univ Washington, Appl Phys Lab, Polar Sci Ctr, 1013 NE 40th St, Seattle, WA 98105 USA.</t>
  </si>
  <si>
    <t>ian@apl.washington.edu; j.bamber@bristol.ac.uk</t>
  </si>
  <si>
    <t>Joughin, Ian/AAR-7778-2021; Bamber, Jonathan/C-7608-2011; Joughin, Ian R/A-2998-2008</t>
  </si>
  <si>
    <t>Joughin, Ian/0000-0001-6229-679X; Bamber, Jonathan/0000-0002-2280-2819; Joughin, Ian R/0000-0001-6229-679X</t>
  </si>
  <si>
    <t>SEP 10</t>
  </si>
  <si>
    <t>L17503</t>
  </si>
  <si>
    <t>10.1029/2005GL023844</t>
  </si>
  <si>
    <t>963TA</t>
  </si>
  <si>
    <t>WOS:000231827600004</t>
  </si>
  <si>
    <t>Polyakov, IV; Beszczynska, A; Carmack, EC; Dmitrenko, IA; Fahrbach, E; Frolov, IE; Gerdes, R; Hansen, E; Holfort, J; Ivanov, VV; Johnson, MA; Karcher, M; Kauker, F; Morison, J; Orvik, KA; Schauer, U; Simmons, HL; Skagseth, O; Sokolov, VT; Steele, M; Timokhov, LA; Walsh, D; Walsh, JE</t>
  </si>
  <si>
    <t>One more step toward a warmer Arctic</t>
  </si>
  <si>
    <t>SOUTHERN CANADIAN BASIN; NORTHERN NORTH-ATLANTIC; NORDIC SEAS; OCEAN; WATER; VARIABILITY; TEMPERATURES; HALOCLINE; SLOPE</t>
  </si>
  <si>
    <t>This study was motivated by a strong warming signal seen in mooring-based and oceanographic survey data collected in 2004 in the Eurasian Basin of the Arctic Ocean. The source of this and earlier Arctic Ocean changes lies in interactions between polar and sub-polar basins. Evidence suggests such changes are abrupt, or pulse-like, taking the form of propagating anomalies that can be traced to higher-latitudes. For example, an anomaly found in 2004 in the eastern Eurasian Basin took similar to 1.5 years to propagate from the Norwegian Sea to the Fram Strait region, and additional similar to 4.5-5 years to reach the Laptev Sea slope. While the causes of the observed changes will require further investigation, our conclusions are consistent with prevailing ideas suggesting the Arctic Ocean is in transition towards a new, warmer state.</t>
  </si>
  <si>
    <t>Univ Alaska Fairbanks, Int Arctic Res Ctr, Fairbanks, AK 99775 USA; Alfred Wegener Inst Polar &amp; Marine Res, D-27515 Bremerhaven, Germany; Fisheries &amp; Oceans Canada, Sidney, BC V8L 4B2, Canada; Arctic &amp; Antarctic Res Inst, St Petersburg 199397, Russia; Norwegian Polar Res Inst, N-9296 Tromso, Norway; Univ Alaska Fairbanks, Inst Marine Sci, Fairbanks, AK 99775 USA; OASys Ocean Atmosphere Syst GbR, Hamburg, Germany; Univ Washington, Appl Phys Lab, Polar Sci Ctr, Seattle, WA 98105 USA; GIUB, Bjerknes Ctr Climate Res, N-5007 Bergen, Norway; USN, Res Lab, Washington, DC 20375 USA</t>
  </si>
  <si>
    <t>University of Alaska System; University of Alaska Fairbanks; Helmholtz Association; Alfred Wegener Institute, Helmholtz Centre for Polar &amp; Marine Research; Fisheries &amp; Oceans Canada; Arctic &amp; Antarctic Research Institute; Norwegian Polar Institute; University of Alaska System; University of Alaska Fairbanks; University of Washington; University of Washington Seattle; Bjerknes Centre for Climate Research; United States Department of Defense; United States Navy; Naval Research Laboratory</t>
  </si>
  <si>
    <t>Univ Alaska Fairbanks, Int Arctic Res Ctr, Fairbanks, AK 99775 USA.</t>
  </si>
  <si>
    <t>igor@iarc.uaf.edu</t>
  </si>
  <si>
    <t>Frolov, Ivan/L-2908-2018; Ivanov, Vladimir/J-5979-2014; Ivanov, Vladimir/AAX-6830-2020; Walsh, John/GQI-2785-2022</t>
  </si>
  <si>
    <t>Frolov, Ivan/0000-0002-6586-354X; Ivanov, Vladimir/0000-0003-2569-6027; Walsh, John/0000-0002-2510-8734; Beszczynska-Moller, Agnieszka/0000-0002-8108-6306; Dmitrenko, Igor/0000-0001-8388-7839; Walsh, John/0000-0001-9541-5927; Steele, Michael/0000-0001-5083-1775; Karcher, Michael/0000-0002-9587-811X</t>
  </si>
  <si>
    <t>SEP 9</t>
  </si>
  <si>
    <t>L17605</t>
  </si>
  <si>
    <t>10.1029/2005GL023740</t>
  </si>
  <si>
    <t>963SZ</t>
  </si>
  <si>
    <t>WOS:000231827500005</t>
  </si>
  <si>
    <t>Ferretti, DF; Miller, JB; White, JWC; Etheridge, DM; Lassey, KR; Lowe, DC; Meure, CMM; Dreier, MF; Trudinger, CM; van Ommen, TD; Langenfelds, RL</t>
  </si>
  <si>
    <t>Unexpected changes to the global methane budget over the past 2000 years</t>
  </si>
  <si>
    <t>ANTARCTIC FIRN AIR; ATMOSPHERIC METHANE; ANTHROPOGENIC EMISSIONS; ICE CORE; HISTORY; DELTA-C-13; RESOLUTION; RAINFALL; DROUGHT; CLIMATE</t>
  </si>
  <si>
    <t>We report a 2000-year Antarctic ice-core record of stable carbon isotope measurements in atmospheric methane (delta(CH4)-C-13). Large delta(CH4)-C-13 variations indicate that the methane budget varied unexpectedly during the late preindustrial Holocene (circa 0 to 1700 A.D.). During the first thousand years (0 to 1000 A.D.), delta(CH4)-C-13 was at least 2 per mil enriched compared to expected values, and during the following 700 years, an about 2 per mil depletion occurred. Our modeled methane source partitioning implies that biomass burning emissions were high from 0 to 1000 A.D. but reduced by almost similar to 40% over the next 700 years. We suggest that both human activities and natural climate change influenced preindustrial biomass burning emissions and that these emissions have been previously understated in late preindustrial Holocene methane budget research.</t>
  </si>
  <si>
    <t>Univ Colorado, Inst Arctic &amp; Alpine Res, Boulder, CO 80309 USA; Natl Inst Water &amp; Atmospher Res Ltd, Wellington, New Zealand; NOAA, RCMDL1, Boulder, CO 80305 USA; CSIRO, Aspendale, Vic 3195, Australia; Australian Antarctic Div, Dept Environm &amp; Heritage, Hobart, Tas 7001, Australia; Antarctic Climate &amp; Ecosyst CRC, Hobart, Tas 7001, Australia</t>
  </si>
  <si>
    <t>University of Colorado System; University of Colorado Boulder; National Institute of Water &amp; Atmospheric Research (NIWA) - New Zealand; National Oceanic Atmospheric Admin (NOAA) - USA; Commonwealth Scientific &amp; Industrial Research Organisation (CSIRO); Australian Antarctic Division; University of Tasmania</t>
  </si>
  <si>
    <t>Ferretti, DF (corresponding author), Univ Colorado, Inst Arctic &amp; Alpine Res, Boulder, CO 80309 USA.</t>
  </si>
  <si>
    <t>d.ferretti@niwa.co.nz</t>
  </si>
  <si>
    <t>White, James W.C./A-7845-2009; Etheridge, David M/B-7334-2013; Miller, John B./AAE-7714-2019; Langenfelds, Raymond L/B-5381-2012; Trudinger, Cathy/A-2532-2008; van Ommen, Tas/B-5020-2012</t>
  </si>
  <si>
    <t>Miller, John B./0000-0001-8630-1610; Etheridge, David/0000-0001-7970-2002; Trudinger, Cathy/0000-0002-4844-2153; Lassey, Keith/0000-0003-0350-4215; van Ommen, Tas/0000-0002-2463-1718</t>
  </si>
  <si>
    <t>10.1126/science.1115193</t>
  </si>
  <si>
    <t>963WK</t>
  </si>
  <si>
    <t>WOS:000231836700041</t>
  </si>
  <si>
    <t>Rangama, Y; Boutin, J; Etcheto, J; Merlivat, L; Takahashi, T; Delille, B; Frankignoulle, M; Bakker, DCE</t>
  </si>
  <si>
    <t>Variability of the net air-sea CO2 flux inferred from shipboard and satellite measurements in the Southern Ocean south of Tasmania and New Zealand -: art. no. C09005</t>
  </si>
  <si>
    <t>ANTARCTIC CIRCUMPOLAR CURRENT; GAS-EXCHANGE; WIND-SPEED; CARBON; 170-DEGREES-W; FRONTS; WATER</t>
  </si>
  <si>
    <t>We determine the distribution of oceanic CO2 partial pressure (pCO(2)) with respect to remotely sensed parameters (sea surface temperature (SST) and chlorophyll (Chl)) in order to gain an understanding of the small-scale (10-100 km) pCO(2) variability and to estimate the net air-sea CO2 flux in the region (125 degrees E-205 degrees E; 45 degrees S-60 degrees S), which represents 22% of the Southern Ocean area between 45 degrees S and 60 degrees S. We split the study area into several biogeochemical provinces. In chlorophyll-poor regions, pCO(2) is negatively correlated with SST, indicating that pCO(2) is mostly controlled by mixing processes. For Chl &gt; 0.37 mg m(-3), pCO(2) is negatively correlated with Chl, indicating that pCO(2) variability is mostly controlled by carbon fixation by biological activity. We deduce fields of pCO(2) and of air-sea CO2 fluxes from satellite parameters using pCO(2)-SST, pCO(2)-chlorophyll relationships and air-sea gas exchange coefficient, K, from satellite wind speed. We estimate an oceanic CO2 sink from December 1997 to December 1998 of -0.08 GtC yr(-1) with an error of 0.03 GtC yr(-1). This sink is approximately 38% smaller than that computed from the Takahashi et al. (2002) climatological distribution of Delta pCO(2) for the 1995 year but with the same K (-0.13 GtC yr(-1)). When we correct ocean pCO(2) for the interannual variability between 1995 and 1998, the difference is even larger, and we cannot reconcile both estimates in February-March and from June to November. This strengthens the need of new in situ measurements for validating extrapolation methods and for improving knowledge of interannual pCO(2) variability.</t>
  </si>
  <si>
    <t>Univ Paris 06, Inst Pierre Simon Laplace, Lab Oceanog Dynam &amp; Climatol, F-75252 Paris, France; Columbia Univ, Lamont Doherty Earth Observ, Palisades, NY 10964 USA; Univ Liege, MARE, Unite Oceanog Chim, B-4000 Liege, Belgium; Univ E Anglia, Sch Environm Sci, Norwich NR4 7TJ, Norfolk, England</t>
  </si>
  <si>
    <t>Sorbonne Universite; Universite Paris Saclay; Universite Paris Cite; Centre National de la Recherche Scientifique (CNRS); CNRS - National Institute for Earth Sciences &amp; Astronomy (INSU); Columbia University; University of Liege; University of East Anglia</t>
  </si>
  <si>
    <t>Univ Paris 06, Inst Pierre Simon Laplace, Lab Oceanog Dynam &amp; Climatol, 4 Pl Jussieu, F-75252 Paris, France.</t>
  </si>
  <si>
    <t>jb@lodyc.jussieu.fr</t>
  </si>
  <si>
    <t>Merlivat, Liliane/KAL-8800-2024; /M-2253-2016; Delille, Bruno/C-3486-2008; Bakker, Dorothee/E-4951-2015</t>
  </si>
  <si>
    <t>/0000-0003-2845-4912; Delille, Bruno/0000-0003-0502-8101; Bakker, Dorothee/0000-0001-9234-5337</t>
  </si>
  <si>
    <t>SEP 8</t>
  </si>
  <si>
    <t>C09005</t>
  </si>
  <si>
    <t>10.1029/2004JC002619</t>
  </si>
  <si>
    <t>963TI</t>
  </si>
  <si>
    <t>WOS:000231828400001</t>
  </si>
  <si>
    <t>Horne, RB; Thorne, RM; Shprits, YY; Meredith, NP; Glauert, SA; Smith, AJ; Kanekal, SG; Baker, DN; Engebretson, MJ; Posch, JL; Spasojevic, M; Inan, US; Pickett, JS; Decreau, PME</t>
  </si>
  <si>
    <t>Wave acceleration of electrons in the Van Allen radiation belts</t>
  </si>
  <si>
    <t>RELATIVISTIC ELECTRONS; MAGNETOSPHERE; DIFFUSION; CHORUS; STORM</t>
  </si>
  <si>
    <t>The Van Allen radiation belts(1) are two regions encircling the Earth in which energetic charged particles are trapped inside the Earth's magnetic field. Their properties vary according to solar activity(2,3) and they represent a hazard to satellites and humans in space(4,5). An important challenge has been to explain how the charged particles within these belts are accelerated to very high energies of several million electron volts. Here we show, on the basis of the analysis of a rare event where the outer radiation belt was depleted and then re-formed closer to the Earth(6), that the long established theory of acceleration by radial diffusion is inadequate; the electrons are accelerated more effectively by electromagnetic waves at frequencies of a few kilohertz. Wave acceleration can increase the electron flux by more than three orders of magnitude over the observed timescale of one to two days, more than sufficient to explain the new radiation belt. Wave acceleration could also be important for Jupiter, Saturn and other astrophysical objects with magnetic fields.</t>
  </si>
  <si>
    <t>British Antarctic Survey, Cambridge CB3 0ET, England; Univ Calif Los Angeles, Dept Atmospher &amp; Ocean Sci, Los Angeles, CA 90095 USA; Univ Colorado, Atmospher &amp; Space Phys Lab, Boulder, CO 80303 USA; Augsburg Coll, Dept Phys, Minneapolis, MN 55454 USA; Stanford Univ, STAR Lab, Stanford, CA 94305 USA; Univ Iowa, Dept Phys &amp; Astron, Iowa City, IA 52242 USA; LPCE, F-45071 Orleans, France</t>
  </si>
  <si>
    <t>UK Research &amp; Innovation (UKRI); Natural Environment Research Council (NERC); NERC British Antarctic Survey; University of California System; University of California Los Angeles; University of Colorado System; University of Colorado Boulder; Augsburg University; Stanford University; University of Iowa</t>
  </si>
  <si>
    <t>R.Horne@bas.ac.uk</t>
  </si>
  <si>
    <t>Meredith, Nigel P/C-5806-2018; Shprits, Yuri Y/I-2174-2014; Inan, Umran/V-3634-2019; Horne, Richard B/U-3764-2019</t>
  </si>
  <si>
    <t>Inan, Umran/0000-0001-5837-5807; Horne, Richard B/0000-0002-0412-6407; Meredith, Nigel/0000-0001-5032-3463; Shprits, Yuri/0000-0002-9625-0834</t>
  </si>
  <si>
    <t>10.1038/nature03939</t>
  </si>
  <si>
    <t>961YE</t>
  </si>
  <si>
    <t>WOS:000231696900049</t>
  </si>
  <si>
    <t>Case, J</t>
  </si>
  <si>
    <t>Case, Judd</t>
  </si>
  <si>
    <t>ANTARCTIC MAMMALIAN PALEOFAUNA: BODY SIZE DISTRIBUTION PATTERN INDICATES A RESPONSE TO CLIMATIC COOLING AND SEASONALITY</t>
  </si>
  <si>
    <t>JOURNAL OF VERTEBRATE PALEONTOLOGY</t>
  </si>
  <si>
    <t>[Case, Judd] St Marys Coll, Moraga, CA 94575 USA</t>
  </si>
  <si>
    <t>Saint Mary's College of California</t>
  </si>
  <si>
    <t>SOC VERTEBRATE PALEONTOLOGY</t>
  </si>
  <si>
    <t>NORTHBROOK</t>
  </si>
  <si>
    <t>60 REVERE DR, STE 500, NORTHBROOK, IL 60062 USA</t>
  </si>
  <si>
    <t>0272-4634</t>
  </si>
  <si>
    <t>J VERTEBR PALEONTOL</t>
  </si>
  <si>
    <t>J. Vertebr. Paleontol.</t>
  </si>
  <si>
    <t>SEP 7</t>
  </si>
  <si>
    <t>43A</t>
  </si>
  <si>
    <t>V05MU</t>
  </si>
  <si>
    <t>WOS:000207130900067</t>
  </si>
  <si>
    <t>Whatley, R; Ballent, S; Szczechura, J</t>
  </si>
  <si>
    <t>Antarctic Tertiary Progonocytheridae:: The last refuge of Majungaella, the survivor of a long lineage, a geographical and physiological migration from low to high latitudes</t>
  </si>
  <si>
    <t>14th International Symposium on Ostracoda (ISO 2001)</t>
  </si>
  <si>
    <t>Shizuoka, JAPAN</t>
  </si>
  <si>
    <t>Majungaella; Progonocytheridae; migration; adaptation; cainozoic; Antarctic</t>
  </si>
  <si>
    <t>SEA OSTRACOD ASSEMBLAGES; RECENT MARINE OSTRACODA; JAMES-ROSS-ISLAND; PALAEOCEANOGRAPHICAL CHANGES; SOUTHERN-OCEAN; ATLANTIC-OCEAN; CLOSE ALLIES; OLIGOCENE; STRATIGRAPHY; FORAMINIFERA</t>
  </si>
  <si>
    <t>Majungaella Grekoff is shown to be the only member of the once dominant ostracod family Progonocytheridae, Progonocytherinae to survive the Jurassic and also to survive the Cretaceous-Tertiary boundary event. In the Jurassic, Majungaella had a northeastern gondwanine distribution, occurring only in India, Africa and Madagascar. However, during the Neocomian it appears in South America where it extends to the Maastrichtian, while in Australia it first appears in the Aptian and ranges up to the Campanian. Its last records in Africa are in the Cenomanian of South Africa and the Santonian of south-western Africa. This southward shift into higher latitudes was probably due to an increasing cryophilia and, although this may have also been prompted by competitive exclusion by better adapted, newly evolved taxa, it is difficult to demonstrate this due to the universal distribution of most Late Mesozoic ostracod genera. Whatever the reason, Majungaella seems to have become, during the Cretaceous, increasingly adapted to living in high-latitude shallow seas and this adaptation is advanced as the prime reason why the genus, alone among the progonocytherids was able to survive both the post-Cretaceous global cooling and Antarctic palaeoenvironments into the Late Neogene. Eocene, Oligocene and Pliocene occurrences of Majungaella in the Antarctic are investigated and it is concluded that the genus is in situ in all instances and that. especially in the two latter cases, it lived in water temperatures very much lower:than those of its Mesozoic forebears. (c) 2005 Elsevier B.V. All rights reserved.</t>
  </si>
  <si>
    <t>Consejo Nacl Invest Cient &amp; Tecn, Dept Paleozool Invertebrados, Museo La Plata, RA-1900 La Plata, Argentina; Univ Coll Wales, Dept Geol, Micropalaeontol Res Grp, Aberystwyth SY23 3BZ, Dyfed, Wales; Polish Acad Sci, Inst Palaeobiol, Warsaw, Poland</t>
  </si>
  <si>
    <t>Aberystwyth University; Polish Academy of Sciences</t>
  </si>
  <si>
    <t>Ballent, S (corresponding author), Consejo Nacl Invest Cient &amp; Tecn, Dept Paleozool Invertebrados, Museo La Plata, RA-1900 La Plata, Argentina.</t>
  </si>
  <si>
    <t>riw@aber.ac.uk; sballent@museo.fcnym.unlp.edu.ar; janina.s@twarda.pan.pl</t>
  </si>
  <si>
    <t>SEP 5</t>
  </si>
  <si>
    <t>10.1016/j.palaeo.2005.06.016</t>
  </si>
  <si>
    <t>965AU</t>
  </si>
  <si>
    <t>WOS:000231922900016</t>
  </si>
  <si>
    <t>Miyashita, Y; Miyoshi, Y; Matsumoto, Y; Ieda, A; Kamide, Y; Nosé, M; Machida, S; Hayakawa, H; McEntire, RW; Christon, SP; Evans, DS; Troshichev, OA</t>
  </si>
  <si>
    <t>Geotail observations of signatures in the near-Earth magnetotail for the extremely intense substorms of the 30 October 2003 storm -: art. no. A09S25</t>
  </si>
  <si>
    <t>OXYGEN-ION BURSTS; MAGNETIC-FIELD; PLASMA SHEET; POLAR-CAP; DISTANT MAGNETOTAIL; ENERGETIC PARTICLES; ELECTRIC-FIELD; SATELLITE; ONSETS; INDEX</t>
  </si>
  <si>
    <t>Two coronal mass ejections associated with the X17 and X10 solar flares reached the Earth's environment at very high speeds on 29 and 30 October 2003, respectively, causing very intense geomagnetic storms (Dst similar to -400 nT). The present study focused on the main phase of the 30 October storm during which the Geotail spacecraft was within the near-Earth magnetotail at X similar to -8 R-E. A number of extremely intense substorms occurred during this period. In one of them, the intensity of the westward auroral electrojet exceeded 3000 nT, which was one of the largest magnitudes ever observed. The energetic particle observations from the low-altitude, polar-orbiting NOAA satellites indicate that the auroral oval shifted equatorward to magnetic latitudes much lower than usual, as low as 50 degrees. Throughout the interval, the magnetic field in the near-Earth magnetotail, and possibly the plasma density, was much larger than usual, indicating a considerable degree of energy accumulation in the lobe region and compression of the plasma sheet and very intense cross-tail currents. The dense plasma may be responsible for the intense auroral electrojet and the intense ring current. Very large, rapid dipolarizations occurred in relation to the intense substorms. High-energy particle fluxes were an order of magnitude higher than usual, and their increases took place immediately after the dipolarizations. Fast tailward flows with large southward magnetic fields as well as fluxes of energetic heavy ions (oxygen) were also observed, suggesting that the magnetic reconnection took place in the near-Earth magnetotail, associated with the very intense substorms. This location is much closer to the Earth than usual, probably as close to the Earth as ever reported. These magnetotail and auroral observations as well as other results reported previously suggest that the entire magnetosphere was considerably distorted during the storm.</t>
  </si>
  <si>
    <t>Nagoya Univ, Solar Terr Environm Lab, Aichi 4428507, Japan; Nagoya Univ, Grad Sch Environm Studies, 21st Century Ctr Excellence Program, Aichi 4648601, Japan; Kyoto Univ, Grad Sch Sci, Data Anal Ctr Geomagnetism &amp; Space Magnetism, Kyoto 6068502, Japan; Kyoto Univ, Dept Geophys, Kyoto 6068502, Japan; Japan Aerosp Explorat Agcy, Inst Space &amp; Astronaut Sci, Kanagawa 2298510, Japan; Johns Hopkins Univ, Appl Phys Lab, Laurel, MD 20723 USA; Focused Anal &amp; Res, Columbia, MD 21044 USA; NOAA, Space Environm Ctr, Boulder, CO 80305 USA; Arctic &amp; Antarctic Res Inst, St Petersburg 199397, Russia</t>
  </si>
  <si>
    <t>Nagoya University; Nagoya University; Kyoto University; Kyoto University; Japan Aerospace Exploration Agency (JAXA); Institute of Space &amp; Astronautical Science (ISAS); Johns Hopkins University; Johns Hopkins University Applied Physics Laboratory; National Oceanic Atmospheric Admin (NOAA) - USA; Arctic &amp; Antarctic Research Institute</t>
  </si>
  <si>
    <t>Nagoya Univ, Solar Terr Environm Lab, Aichi 4428507, Japan.</t>
  </si>
  <si>
    <t>miyasita@stelab.nagoya-u.ac.jp; miyoshi@stelab.nagoya-u.ac.jp; ymatumot@stelab.nagoya-u.ac.jp; ieda@stelab.nagoya-u.ac.jp; kamide@stelab.nagoya-u.ac.jp; nose@kugi.kyoto-u.ac.jp; machida@kugi.kyoto-u.ac.jp; hayakawa@stp.isas.jaxa.jp; richard.mcentire@jhuapl.edu; spchriston@aol.com; david.s.evans@noaa.gov; olegtro@aari.nw.ru</t>
  </si>
  <si>
    <t>Matsumoto, Yoichiro/M-4093-2014; Nose, Masahito/B-1900-2015; Nose, Masahito/ISU-3248-2023; Miyoshi, Yoshizumi/B-5834-2015</t>
  </si>
  <si>
    <t>Nose, Masahito/0000-0002-2789-3588; Christon, Stephen/0000-0003-1770-2458; Matsumoto, Yosuke/0000-0002-1484-7056</t>
  </si>
  <si>
    <t>SEP 3</t>
  </si>
  <si>
    <t>A09S25</t>
  </si>
  <si>
    <t>10.1029/2005JA011070</t>
  </si>
  <si>
    <t>962KD</t>
  </si>
  <si>
    <t>WOS:000231729400006</t>
  </si>
  <si>
    <t>van den Broeke, M</t>
  </si>
  <si>
    <t>The IPCC and Antarctica</t>
  </si>
  <si>
    <t>Van den Broeke, Michiel R./F-7867-2011</t>
  </si>
  <si>
    <t>Van den Broeke, Michiel R./0000-0003-4662-7565</t>
  </si>
  <si>
    <t>SEP</t>
  </si>
  <si>
    <t>10.1017/S0954102005002725</t>
  </si>
  <si>
    <t>970PE</t>
  </si>
  <si>
    <t>WOS:000232321300001</t>
  </si>
  <si>
    <t>Barnes, DKA; Convey, P</t>
  </si>
  <si>
    <t>Odyssey of stow-away noctuid moths to southern polar islands</t>
  </si>
  <si>
    <t>aliens; biosecurity; Lepidoptera; non-indigenous species; ship</t>
  </si>
  <si>
    <t>OCEAN; BIODIVERSITY; BIOGEOGRAPHY; ANTARCTICA; HISTORY; LIFE</t>
  </si>
  <si>
    <t>High southern latitude island environments are unusual in having relatively low or, in some cases, no non-indigenous species (NIS). Here we describe the accidental transport and survivorship of moths (Lepidoptera, Noctuidae) on a research vessel travelling from southern South America (Montevideo, Uruguay) first to the cool temperate Falkland Islands and then onwards to Maritime Antarctic Signy Island (South Orkney Islands). On the vessel's arrival at Stanley, Falkland Islands, from Montevideo we found eight live (and 30 dead) individuals of two species of South American noctuid moth (Pseudaletia adultera Schaus and Peridroma saucia (Hubner)), presumed to have been attracted to the ship's lights while in port. Neither of these is indigenous to the Falkland Islands. Five of the eight living moths (all P. adultera) survived the four days the ship was moored in Stanley and one survived a further four day journey across the Polar Front to Signy Island. Southern oceanic islands are particularly vulnerable to invasion by NIS, with human (shipping) activities being the main route of arrival. With increasing shipping throughout this region some measures have been proposed or adopted to reduce the risk of NIS transfer.</t>
  </si>
  <si>
    <t>10.1017/S0954102005002737</t>
  </si>
  <si>
    <t>WOS:000232321300002</t>
  </si>
  <si>
    <t>Echeverría, CA; Paiva, PC; Alves, VC</t>
  </si>
  <si>
    <t>Composition and biomass of shallow benthic megafauna during an annual cycle in Admiralty Bay, King George Island, Antarctica</t>
  </si>
  <si>
    <t>community structure; iceberg; South Shetland Islands; storms; temporal variation</t>
  </si>
  <si>
    <t>SOUTH ORKNEY ISLANDS; SIGNY ISLAND; SHETLAND-ISLANDS; MCMURDO SOUND; MARTEL INLET; COMMUNITIES; MICROALGAE; SEDIMENT; ZONATION; IMPACT</t>
  </si>
  <si>
    <t>Composition and biomass of an Antarctic megafauna community were studied during a discontinuous 12 months cycle (March-December 1999 and December 2000-March 2001) at two stations (12 and 25 m depth) in Admiralty Bay, King George Island, Antarctica. During this period iceberg impacts were monitored in order to analyse their role in structuring the community. Organic matter content of the sediment showed a seasonal cycle for both depths, with lower values during winter and higher in summer. Composition and biomass of the megafauna were comparable to those described in previous surveys for the maritime Antarctica. Interannual or summer/winter changes in the density or biomass of the megafauna community were not significant, although significant differences between depths occurred during the whole survey. The observed community composition can be the considered result of a continuous invasion from a deeper fauna, constrained at shallower waters by the effects of ice and storms.</t>
  </si>
  <si>
    <t>Fed Univ Rio De Janeiro, Inst Biol, Dept Zool, CCS, BR-21940590 Rio De Janeiro, RJ, Brazil</t>
  </si>
  <si>
    <t>Universidade Federal do Rio de Janeiro</t>
  </si>
  <si>
    <t>Echeverría, CA (corresponding author), Fed Univ Rio De Janeiro, Inst Biol, Dept Zool, CCS, Bloco A Ilha Fundao, BR-21940590 Rio De Janeiro, RJ, Brazil.</t>
  </si>
  <si>
    <t>carlos_alejandroecheverria@hotmail.com</t>
  </si>
  <si>
    <t>de Paiva, Paulo Cesar/N-1234-2019; Echeverria, Carlos Alejandro/P-1206-2018; Echeverria, Carlos A/F-3184-2011</t>
  </si>
  <si>
    <t>de Paiva, Paulo Cesar/0000-0003-1061-6549; Echeverria, Carlos Alejandro/0000-0002-8479-6549</t>
  </si>
  <si>
    <t>10.1017/S0954102005002762</t>
  </si>
  <si>
    <t>WOS:000232321300003</t>
  </si>
  <si>
    <t>Evans, CW; Cziko, P; Cheng, CHC; DeVries, AL</t>
  </si>
  <si>
    <t>Spawning behaviour and early development in the naked dragonfish Gymnodraco acuticeps</t>
  </si>
  <si>
    <t>Antarctica; Bathydraconidae; embryo; larva; McMurdo Sound; Notothenioidei; Southern Ocean</t>
  </si>
  <si>
    <t>ANTARCTIC FISHES; REPRODUCTION</t>
  </si>
  <si>
    <t>Nesting sites of the naked dragonfish Gymnodraco acuticeps have been identified in 15-35 m water under fast ice adjacent to McMurdo Station, making it possible to examine embryonic development and early larval growth. Egg-laying (predominantly in October) is preceded by a distinctive whirling behavioural pattern driven by the male prodding the side of the female's abdomen. The eggs (3.42 +/- 0.19 mm in diameter) are laid on rocks as a single adherent layer (c. 2500 per patch). Development is unusually protracted, the first cleavage occurring after about 24 hr at about -1.9 degrees C. Hatching occurs about 10 months post-fertilization, beginning soon after the sun rises above the horizon. During this period one of the parents may act as a guard in an attempt to keep predators at bay. Upon hatching, the larvae (12.09 +/- 0.36 mm long) swim towards the surface ice where they presumably seek refuge. Yolk absorption is complete in about 15 days. Larvae (grown in aquaria at a density of 0.7 larvae l(-1)) display an average daily growth rate of 0.42% over nine weeks. Hatching in aquaria can occur up to 100 days in advance of that seen in the field, suggesting that under natural conditions hatching may be delayed until an appropriate stimulus (such as the return of the sun) is received.</t>
  </si>
  <si>
    <t>Univ Auckland, Sch Biol Sci, Auckland, New Zealand; Univ Illinois, Dept Anim Biol, Urbana, IL 61801 USA</t>
  </si>
  <si>
    <t>University of Auckland; University of Illinois System; University of Illinois Urbana-Champaign</t>
  </si>
  <si>
    <t>Evans, CW (corresponding author), Univ Auckland, Sch Biol Sci, Private Bag 92019, Auckland, New Zealand.</t>
  </si>
  <si>
    <t>c.evans@auckland.ac.nz</t>
  </si>
  <si>
    <t>Evans, Clive/AAZ-4699-2021</t>
  </si>
  <si>
    <t>Evans, Clive/0000-0003-2888-842X</t>
  </si>
  <si>
    <t>10.1017/S0954102005002749</t>
  </si>
  <si>
    <t>WOS:000232321300004</t>
  </si>
  <si>
    <t>Southwell, C</t>
  </si>
  <si>
    <t>Response behaviour of seals and penguins to helicopter surveys over the pack ice off East Antarctica</t>
  </si>
  <si>
    <t>Adelie penguin; aerial survey; crabeater seal; disturbance; emperor penguin; leopard seal; Ross seal</t>
  </si>
  <si>
    <t>DISTURBANCE</t>
  </si>
  <si>
    <t>Data on the response behaviour of seals (crabeater, leopard and Ross) and penguins (Adelie and emperor) to helicopter surveys over the pack ice off East Antarctica are presented. The surveys involved Sikorsky S76 helicopters flying at altitude 130 in and speed 90 knots along straight-line transects. The relative frequency of alert and movement behaviours by seal and penguin groups decreased with distance out to 800 in from the flight path. Penguin groups were more likely to show a movement response than seals at all distances. The perpendicular distances moved relative to the flight path were small (maximum 20 in, mean: 3 in, for both seal and penguin groups) relative to the width of the area searched (800 in), and there was no evidence that response movement resulted in a spiked detection histogram. Observers were more likely to feel confident in identifying seal and penguin species if the animals responded to the helicopter by changing the body posture or moving. In this application of aerial survey, the response behaviour elicited by the passing helicopter was considered to be beneficial from a technical perspective, and the disturbance caused to the surveyed populations negligible from an ethical perspective.</t>
  </si>
  <si>
    <t>Australian Antarctic Div, Dept Environm &amp; Heritage, Channel Highway, Kingston, Tas 7050, Australia.</t>
  </si>
  <si>
    <t>colin.southwell@aad.gov.au</t>
  </si>
  <si>
    <t>10.1017/S0954102005002798</t>
  </si>
  <si>
    <t>WOS:000232321300005</t>
  </si>
  <si>
    <t>Ainley, DG; Ballard, G; Karl, BJ; Dugger, KM</t>
  </si>
  <si>
    <t>Leopard seal predation rates at penguin colonies of different size</t>
  </si>
  <si>
    <t>Adelie penguin; colony size; Hydrurga leptonyx; predator swamping; Tygoscelis adeliae</t>
  </si>
  <si>
    <t>HYDRURGA-LEPTONYX; ADELIE PENGUINS; PRYDZ BAY; ANTARCTICA</t>
  </si>
  <si>
    <t>In a study designed to elucidate the factors that might differentially affect the well being and biology of Adelie penguins (Pygoscelis adeliae) that breed in colonies of different size, we investigated the predation rates on penguins by leopard seals (Hydrurga leptonyx) over a period of six years. The study colonies varied in size across the full range for this penguin species, contrasting with previous studies in which data were gathered only at very large colonies, and only in single years. The number of seals present varied directly with the amount of penguin traffic in the areas near the beach, where most predation takes place. Seals were present persistently only when penguin traffic exceeded about 250 penguins per hour. Predation rates also varied with penguin traffic in a curvilinear fashion, leveling off where traffic exceeded about 1200 penguins per hour. With respect to predation, it appears to be advantageous for Adelie penguins to nest in very small or very large colonies. At large colonies, the number of penguins moving to and from the colony 'swamp' the seals' predatory efforts, thus reducing the chances that an individual penguin will be taken. Small colonies are of little interest to the seals.</t>
  </si>
  <si>
    <t>HT Harvey &amp; Associates, San Jose, CA 95118 USA; PRBO Conservat Sci, Stinson Beach, CA 94970 USA; Landcare Res New Zealand, Nelson, New Zealand; Oregon State Univ, Dept Fisheries &amp; Wildlife, Corvallis, OR 97331 USA</t>
  </si>
  <si>
    <t>Landcare Research - New Zealand; Oregon State University</t>
  </si>
  <si>
    <t>Ainley, DG (corresponding author), HT Harvey &amp; Associates, 3150 Almaden Expressway,Suite 145, San Jose, CA 95118 USA.</t>
  </si>
  <si>
    <t>10.1017/S0954102005002750</t>
  </si>
  <si>
    <t>WOS:000232321300006</t>
  </si>
  <si>
    <t>Pannewitz, S; Green, TGA; Maysek, K; Schlensog, M; Seppelt, R; Sancho, LG; Türk, R; Schroeter, B</t>
  </si>
  <si>
    <t>Photosynthetic responses of three common mosses from continental Antarctica</t>
  </si>
  <si>
    <t>bryophytes; global change; light compensation; microclimate; net photosynthesis; Victoria Land</t>
  </si>
  <si>
    <t>ULTRAVIOLET-RADIATION; GRIMMIA-ANTARCTICI; IN-SITU; PHOTOINHIBITION; PLANTS</t>
  </si>
  <si>
    <t>Predicting the effects of climate change on Antarctic terrestrial vegetation requires a better knowledge of the ecophysiology of common moss species. In this paper we provide a comprehensive matrix for photosynthesis and major environmental parameters for three dominant Antarctic moss species (Bryum subrotundifolium, B. pseudotriquetrum and Ceratodon purpureus). Using locations in southern Victoria Land, (Granite Harbour, 77 degrees S) and northern Victoria Land (Cape Hallett, 72 degrees S) we determined the responses of net photosynthesis and dark respiration to thallus water content, thallus temperature, photosynthetic photon flux densities and CO2 concentration over several summer seasons. The studies also included microclimate recordings at all sites where the research was carried out in field laboratories. Plant temperature was influenced predominantly by the water regime at the site with dry mosses being warmer. Optimal temperatures for net photosynthesis were 13.7 degrees C, 12.0 degrees C and 6.6 degrees C for B. subrotundifolium, B. pseudotriquetrum and C. purpureus, respectively and fall within the known range for Antarctic mosses. Maximal net photosynthesis at 10 degrees C ranked as B. subrotundifolium &gt; B. pseudotriquetrum &gt; C. purpureus. Net photosynthesis was strongly depressed at Subzero temperatures but was substantial at 0 degrees C. Net photosynthesis of the mosses was not saturated by light at optimal water content and thallus temperature. Response of net photosynthesis to increase in water content was as expected for mosses although B. subrotundifolium showed a large depression (60%) at the highest hydrations. Net photosynthesis of both B. subrotundifolium and B. pseudotriquetrum showed a large response to increase in CO2 concentration and this rose with increase in temperature; saturation was not reached for B. pseudotriquetrum at 20 degrees C. There was a high level of variability for species at the same sites in different years and between different locations. This was substantial enough to make prediction of the effects of climate change very difficult at the moment.</t>
  </si>
  <si>
    <t>Univ Waikato, Hamilton, New Zealand; Weizmann Inst Sci, Dept Environm Sci &amp; Energy Res, IL-76100 Rehovot, Israel; Australian Antarctic Programme, Kingston, Tas 7050, Australia; Univ Complutense, Dep Biol Vegetal 2, Fac Farm, ES-28040 Madrid, Spain; Paris Lodron Univ Salzburg, Inst Pflanzenphysiol, A-5020 Salzburg, Austria; Univ Kiel, Inst Bot, D-24098 Kiel, Germany</t>
  </si>
  <si>
    <t>University of Waikato; Weizmann Institute of Science; Australian Antarctic Division; Complutense University of Madrid; Salzburg University; University of Kiel</t>
  </si>
  <si>
    <t>Clausthaler 25, D-24205 Bremen, Germany.</t>
  </si>
  <si>
    <t>Spannewitz@uni-bremen.de</t>
  </si>
  <si>
    <t>10.1017/S0954102005002774</t>
  </si>
  <si>
    <t>WOS:000232321300007</t>
  </si>
  <si>
    <t>Powell, SM; Riddle, MJ; Snape, I; Stark, JS</t>
  </si>
  <si>
    <t>Location and DGGE methodology can influence interpretation of field experimental studies on the response to hydrocarbons by Antarctic benthic microbial community</t>
  </si>
  <si>
    <t>marine sediment; microbial diversity; oil contamination</t>
  </si>
  <si>
    <t>PETROLEUM HYDROCARBON; CRUDE-OIL; BACTERIAL COMMUNITIES; BIOREMEDIATION; DEGRADATION; CONTAMINATION; ASSEMBLAGES; SEDIMENTS; BIODEGRADATION; DYNAMICS</t>
  </si>
  <si>
    <t>A field experiment investigating the effect of oil contamination on benthic microbial communities was conducted near Casey Station, East Antarctica. Defaunated sediment was treated with a mixture of Special Antarctic Blend diesel and lubricating oil and deployed in three different bays for eleven weeks. A molecular fingerprinting technique, denaturing gradient gel electrophoresis (DGGE), was used to investigate the microbial community structure. The variation between replicate samples within treatment groups indicates that the benthic microbial populations are very diverse and evenly distributed. Comparisons to determine the significance of both deployment location and hydrocarbon treatment showed that the greatest effect was from a combination of location and treatment. Detailed analysis suggests that subtle differences may be obscured by variability introduced by PCR and gel stages in DGGE, undermining this experimental approach. It is concluded that both location and hydrocarbon contamination influenced the development of the microbial communities but that the effect of hydrocarbon treatment varied with location. This has important implications for the design of future experiments on the effect of hydrocarbons on benthic communities, especially if it is intended to generalize the conclusions drawn from site specific studies.</t>
  </si>
  <si>
    <t>Univ Tasmania, Sch Agr Sci, Hobart, Tas 7001, Australia; Australian Antarctic Div, Dept Environm &amp; Heritage, Kingston, Tas 7050, Australia</t>
  </si>
  <si>
    <t>Powell, SM (corresponding author), Univ Tasmania, Sch Agr Sci, Private Bag 54, Hobart, Tas 7001, Australia.</t>
  </si>
  <si>
    <t>shanep@utas.edu.au</t>
  </si>
  <si>
    <t>Powell, Shane M/C-2391-2014; Stark, Jonathan/ABF-4025-2020</t>
  </si>
  <si>
    <t>Stark, Jonathan/0000-0002-4268-8072; Powell, Shane/0000-0001-5082-1630</t>
  </si>
  <si>
    <t>10.1017/S0954102005002786</t>
  </si>
  <si>
    <t>WOS:000232321300008</t>
  </si>
  <si>
    <t>Squier, AH; Hodgson, DA; Keely, BJ</t>
  </si>
  <si>
    <t>Evidence of late Quaternary environmental change in a continental east Antarctic lake from lacustrine sedimentary pigment distributions</t>
  </si>
  <si>
    <t>bacteriochlorophyll e; chlorophyll transformation products; HPLC-mass spectrometry; Larsemann Hills; palaeoenvironmental reconstruction; Progress Lake</t>
  </si>
  <si>
    <t>STERYL CHLORIN ESTERS; PRESSURE CHEMICAL-IONIZATION; BLACK-SEA; SULFUR BACTERIA; HIGH-RESOLUTION; ORGANIC-MATTER; FECAL PELLETS; CHLOROPHYLL-A; ANOXYGENIC PHOTOSYNTHESIS; TRANSFORMATION PRODUCTS</t>
  </si>
  <si>
    <t>A sediment core from Progress Lake, one of the oldest lacustrine sequences in East Antarctica, contains distinct zones dating from a previous interglacial (most likely Marine Isotope Stage 5e, c. 125-115 kyr BP) and the present interglacial (Marine Isotope Stage 1), separated by a transition zone representing when the lake became sub-glacial. Profiles of fossil pigments, determined using high performance liquid chromatography and liquid chromatography-tandem mass spectrometry, show distinct differences in the photoautotrophic community during these two interglacial periods. The first was dominated by algae and purple phototrophic bacteria, with periods of photic zone euxinia indicated by pigments from anoxygenic phototrophic bacteria. Specific chlorophyll a derivatives reveal periods when grazing pressure impacted significantly on the phytoplankton community. The virtual absence of pigments in the transition zone reflects severe restriction of photoautotrophic activity, consistent with the take having become sub-glacial. Retreat of snow and ice in the late Holocene (3345 C-14 yr Bp) allowed establishment of a less diverse primary producer community, restricted to algae and cyanobacteria. Grazers were severely restricted and oxidative transformation was more important than during the previous interglacial. The pigment data provide a unique and detailed insight in to the evolution of the lake ecology over an interglacial-glacial-interglacial transition and strong evidence that the Marine Isotope Stage 5e interglacial in this region of coastal East Antarctica was several degrees warmer than at present.</t>
  </si>
  <si>
    <t>Univ York, Dept Chem, York YO10 5DD, N Yorkshire, England; British Antarctic Survey, NERC, Cambridge CB3 0ET, England</t>
  </si>
  <si>
    <t>University of York - UK; UK Research &amp; Innovation (UKRI); Natural Environment Research Council (NERC); NERC British Antarctic Survey</t>
  </si>
  <si>
    <t>Univ York, Dept Chem, York YO10 5DD, N Yorkshire, England.</t>
  </si>
  <si>
    <t>bjk1@york.ac.uk</t>
  </si>
  <si>
    <t>Keely, Brendan John/0000-0002-8560-1862</t>
  </si>
  <si>
    <t>10.1017/S0954102005002804</t>
  </si>
  <si>
    <t>WOS:000232321300009</t>
  </si>
  <si>
    <t>Skotnicki, ML; Mackenzie, AM; Clements, MA; Selkirk, PM</t>
  </si>
  <si>
    <t>DNA sequencing and genetic diversity of the 18S-26S nuclear ribosomal internal transcribed spacers (ITS) in nine Antarctic moss species</t>
  </si>
  <si>
    <t>bryophyte; ITS sequence; molecular taxonomy; molecular ecology; moss dispersal; Victoria Land</t>
  </si>
  <si>
    <t>VICTORIA LAND; MOUNT RITTMANN; ROSS-ISLAND; PHYLOGENY; MELBOURNE; DISPERSAL; POPULATIONS; FUMAROLES; BRYOPSIDA; EREBUS</t>
  </si>
  <si>
    <t>We have sequenced the 18S-26S nuclear ribosomal DNA ITS region from the genome of nine different moss species from the Ross Sea region of Antarctica. This relatively quick and simple technique enables these species to be readily distinguished, facilitating their taxonomic identification. Only a single moss shoot is required, and for identification of these bryophytes it is only necessary to determine a few hundred nucleotides of the DNA sequence in a single sequencing reaction. Several previously unidentified Antarctic moss specimens were readily characterized by comparison with ITS sequences of known moss species. The relationships between species and locations previously detected by the RAPID (Random Amplified Polymorphic DNA) technique were confirmed by DNA sequencing, demonstrating that the two techniques can be complementary for molecular analysis of the ecology of mosses in Antarctica.</t>
  </si>
  <si>
    <t>Australian Natl Univ, Inst Adv Studies, Res Sch Biol Sci, Genome Interact Grp, Canberra, ACT 2601, Australia; CSIRO, Plant Ind, Ctr Plant Biodivers, Canberra, ACT 2601, Australia; Macquarie Univ, Dept Biol Sci, N Ryde, NSW 2109, Australia</t>
  </si>
  <si>
    <t>Australian National University; Commonwealth Scientific &amp; Industrial Research Organisation (CSIRO); Plant Industry; Macquarie University</t>
  </si>
  <si>
    <t>Australian Natl Univ, Inst Adv Studies, Res Sch Biol Sci, Genome Interact Grp, Canberra, ACT 2601, Australia.</t>
  </si>
  <si>
    <t>skotnicki@rsbs.anu.edu.au</t>
  </si>
  <si>
    <t>10.1017/S0954102005002816</t>
  </si>
  <si>
    <t>WOS:000232321300010</t>
  </si>
  <si>
    <t>Ballard, G; Ainley, DG</t>
  </si>
  <si>
    <t>Killer whale harrassment of Adelie penguins at Ross Island</t>
  </si>
  <si>
    <t>ORCINUS-ORCA; BEHAVIOR</t>
  </si>
  <si>
    <t>PRBO Conservat Sci, Stinson Beach, CA 94970 USA; HT Harvey &amp; Associates, San Jose, CA 95118 USA</t>
  </si>
  <si>
    <t>Ballard, G (corresponding author), PRBO Conservat Sci, 4990 Shoreline Highway 1, Stinson Beach, CA 94970 USA.</t>
  </si>
  <si>
    <t>10.1017/S0954102005002828</t>
  </si>
  <si>
    <t>WOS:000232321300011</t>
  </si>
  <si>
    <t>Young, GC; Long, JA</t>
  </si>
  <si>
    <t>Phyllolepid placoderm fish remains from the Devonian Aztec Siltstone, southern Victoria Land, Antarctica</t>
  </si>
  <si>
    <t>Austrophyllolepis; continental vertebrate dispersal; East Gondwana; Frasnian-Famennian extinction; new species; Placolepis</t>
  </si>
  <si>
    <t>SOUTHEASTERN AUSTRALIA; GONDWANA</t>
  </si>
  <si>
    <t>Phyllolepid placoderm remains from the Aztec Siltstone fish fauna are described as Austrophyllolepis quiltyi sp. nov., Austrophyllolepis cf. A. youngi, Placolepis tingeyi sp. nov., and phyllolepid indet. The new Antarctic species of two genera previously only known from Australia reinforce evidence from other fish taxa of close biogeographic affinity, as part of the eastern margin of Palaeozoic Gondwana. At least three genera and four species gives the Aztec Siltstone fish fauna the most diverse phyllolepid assemblage known, and probably the oldest documented so far (?late Middle Devonian). Specimens of Austrophyllolepis from the type locality at Mount Howitt, Victoria, are refigured for comparison with the Antarctic species. The order Phyllolepida is a key group for understanding Devonian vertebrate biogeography and palaeogeograpby, with a unique disjunct distribution in both time and space between the Southern and Northern hemispheres. Phyllolepids document one of the major dispersal events in early vertebrate history, which approximately coincided with the Frasnian-Famennian boundary mass extinction during the Late Devonian.</t>
  </si>
  <si>
    <t>Australian Natl Univ, Dept Earth &amp; Marine Sci, Canberra, ACT 0200, Australia; Museum Victoria, Melbourne, Vic 3001, Australia</t>
  </si>
  <si>
    <t>Australian National University; Museum Victoria</t>
  </si>
  <si>
    <t>Young, GC (corresponding author), Australian Natl Univ, Dept Earth &amp; Marine Sci, Canberra, ACT 0200, Australia.</t>
  </si>
  <si>
    <t>gyoung@ems.anu.edu.au</t>
  </si>
  <si>
    <t>Long, John/0000-0001-8012-0114</t>
  </si>
  <si>
    <t>10.1017/S095410200500283X</t>
  </si>
  <si>
    <t>WOS:000232321300012</t>
  </si>
  <si>
    <t>Kristjánsson, L; Gudmundsson, MT; Smellie, JL; McIntosh, WC; Esser, R</t>
  </si>
  <si>
    <t>Palaeomagnetic, 40Ar/39Ar, and stratigraphical correlation of Miocene-Pliocene basalts in the Brandy Bay area, James Ross Island, Antarctica</t>
  </si>
  <si>
    <t>lava-fed deltas; Neogene; radiometric dating; volcanics</t>
  </si>
  <si>
    <t>CALIBRATION; PENINSULA</t>
  </si>
  <si>
    <t>A revised stratigraphy of Cenozoic volcanic outcrops in the Brandy Bay area on James Ross Island is obtained by combining palaeomagnetic and stratigraphical anlysis with 40Ar/39Ar dating. The fieldwork was carried out between January and March 2002. Oriented palaeomagnetic samples were obtained from 17 volcanic units, the majority of samples being from lava-fed deltas. Individually the deltas are a few to several hundred metres thick and were formed during voluminous basaltic eruptions within an ice sheet or in a marine setting. Out of the sampled units, 15 carry a stable primary magnetization; six were of normal polarity and nine were reversely magnetized. Our 40Ar/39Ar dating constrains the emplacement of most of the Brandy Bay basalts to the Gilbert chron, with the youngest dated unit having an age of 3.95 Ma and the oldest 6.16 Ma. The mean palaeomagnetic field direction from 14 units has an inclination I = -76 degrees and declination D = 352 degrees, a(95) = 7 degrees. The results further suggest that the lava caps on some of the deltas have high remanent intensity and should generate recognizable aeromagnetic anomalies. The combination of palaeomagnetic and isotopic analysis with field mapping methods in a single field area is unique in Antarctica so far and demonstrates that the combination can yield rigorous local stratigraphy in a geographically remote volcanic terrain having discontinuous outcrops.</t>
  </si>
  <si>
    <t>Univ Iceland, Inst Earth Sci, Reykjavik, Iceland; British Antarctic Survey, NERC, Cambridge CB3 0ET, England; New Mexico Inst Min &amp; Technol, Geochronol Res Lab, Socorro, NM 87801 USA</t>
  </si>
  <si>
    <t>University of Iceland; UK Research &amp; Innovation (UKRI); Natural Environment Research Council (NERC); NERC British Antarctic Survey; New Mexico Institute of Mining Technology</t>
  </si>
  <si>
    <t>Univ Iceland, Inst Earth Sci, Reykjavik, Iceland.</t>
  </si>
  <si>
    <t>leo@raunvis.hi.is</t>
  </si>
  <si>
    <t>Gudmundsson, Magnus T/M-3735-2015</t>
  </si>
  <si>
    <t>10.1017/S0954102005002853</t>
  </si>
  <si>
    <t>WOS:000232321300013</t>
  </si>
  <si>
    <t>Fernández-Ibáñez, F; Pérez-López, R; Martínez-Díaz, JJ; Paredes, C; Giner-Robles, JL; Caselli, AT; Ibáñez, JM</t>
  </si>
  <si>
    <t>Costa Recta beach, Deception Island, West Antarctica:: a retreated scarp of a submarine fault?</t>
  </si>
  <si>
    <t>active tectonics; fault escarpment; straight coast; tectonic geomorphology; uplifted terraces</t>
  </si>
  <si>
    <t>Deception Island (South Shetlands, Antarctica) is one of the most active volcanoes in Antarctica, having erupted recently in 1967, 1969 and 1970, damaging scientific stations on the island. It is also seismically very active. The island has attracted the attention of many researchers as it constitutes an undisturbed natural laboratory to study seismo-volcanic events and how they affect landscape modelling and evolution. One of the most remarkable geological and geomorphological features on Deception Island is the linearity of its easternmost coastal landform, the origin of which remains unknown. Some answers, based on presence of strike-slip fault or on the ice cap and beach geomorphological dynamics, have been reported in the literature. Our new work provides several indications of the existence of a dip-slip submarine fault, parallel to the coast (NNW-SSE), which suggests a tectonic origin for this morphological feature. Uplifted marine terraces, incision of a fluvial network over the ice cap, normal faulting parallel to the coast in the north and south rock heads bounding the beach and sharp shelf-break with rather constant slope, constitute some of this evidence. Terrace uplift and fluvial channel incision decreasing southward from Macaroni Point, indicates possible tilt movement across this inferred fault plane.</t>
  </si>
  <si>
    <t>Univ Granada, Dpto Geodinam, F Ciencias, Granada 18002, Spain; Univ San Pablo, CEU, Fac Farm, Dpto CC Ambientales &amp; Rec Nat, Madrid 28688, Spain; Univ Complutense Madrid, FCC Geol, Dpto Geodinam, E-28040 Madrid, Spain; Univ Politecn Madrid, ETS Ingn Minas, Dpto Matemat Aplicada &amp; Metodos Informat, Madrid 28003, Spain; Univ Buenos Aires, Dpto Cs Geol, Fac Cs Ex &amp; Nat, RA-1428 Buenos Aires, DF, Argentina; Univ Granada, Inst Andaluz Geofis, E-18071 Granada, Spain</t>
  </si>
  <si>
    <t>University of Granada; San Pablo CEU University; Complutense University of Madrid; Universidad Politecnica de Madrid; University of Buenos Aires; University of Granada</t>
  </si>
  <si>
    <t>Univ Granada, Dpto Geodinam, F Ciencias, Campus Fuentenueva S-N, Granada 18002, Spain.</t>
  </si>
  <si>
    <t>fferiba@ugr.es</t>
  </si>
  <si>
    <t>Silva, Pablo G./ABG-7664-2020; Martinez, Josechu/E-8428-2010; IBANEZ, JESUS M/G-9910-2019; Martinez-Diaz, Jose/M-5129-2019; Perez, Raul/P-3485-2014; paredes, carlos/L-7090-2014; Giner-Robles, Jorge L./H-5063-2011</t>
  </si>
  <si>
    <t>Silva, Pablo G./0000-0003-1470-292X; IBANEZ, JESUS M/0000-0002-9846-8781; Martinez-Diaz, Jose/0000-0003-4846-0279; Perez, Raul/0000-0002-9132-4806; paredes, carlos/0000-0001-9580-2679; Fernandez-Ibanez, Fermin/0000-0002-0094-8200; Giner-Robles, Jorge L./0000-0002-1507-4796</t>
  </si>
  <si>
    <t>10.1017/S0954102005002841</t>
  </si>
  <si>
    <t>WOS:000232321300014</t>
  </si>
  <si>
    <t>Truswell, EM; Quilty, PG; McMinn, A; MacPhail, MK; Wheller, GE</t>
  </si>
  <si>
    <t>Late Miocene vegetation and palaeoenvironments of the Drygalski Formation, Heard Island, Indian Ocean: evidence from palynology</t>
  </si>
  <si>
    <t>Cape Lockyer; Kerguelen Plateau; microfossils; Miocene diatoms; vegetation history; Southern Ocean; sub-Antarctic</t>
  </si>
  <si>
    <t>OLIGOCENE SEDIMENTS; KERGUELEN PLATEAU; POLLEN; SPORES</t>
  </si>
  <si>
    <t>Well sorted, fine lithic sandstone within the Drygalski Formation at Cape Lockyer on the southern tip of Heard Island, preserves a diverse terrestrial palynoflora as well as marine diatoms and a few foraminifera. A combination of these elements suggests a Late Miocene age (10-5 Ma). The palaeovegetation was markedly different from that presently on the island, and appears to comprise at least two ecologically distinct communities: open heath or herbfield dominated by grasses and Asteraceae, and a more mesophytic community dominated by ferns but also including lycopods and angiosperms such as Gunnera. This may have represented a coastal flora similar to the 'fern-bush' community that exists now on Southern Ocean islands north of the Antarctic Polar Frontal Zone, and in Tierra del Fuego; however, there is no evidence of tree species in the local flora and trace amounts of tree pollen present may have blown in from other landmasses in the region.</t>
  </si>
  <si>
    <t>Univ Tasmania, Sch Earth Sci, Hobart, Tas 7001, Australia; Australian Natl Univ, Dept Earth &amp; Marine Sci, Canberra, ACT 0200, Australia; Univ Tasmania, Inst Antarctic &amp; So Ocean Studies, Hobart, Tas 7001, Australia; Australian Natl Univ, Dept Archaeol &amp; Nat Hist, Canberra, ACT 0200, Australia; Volcanex Int Pty Ltd, Blackmans Bay, Tas 7052, Australia</t>
  </si>
  <si>
    <t>University of Tasmania; Australian National University; University of Tasmania; Australian National University</t>
  </si>
  <si>
    <t>Univ Tasmania, Sch Earth Sci, Private Bag 79, Hobart, Tas 7001, Australia.</t>
  </si>
  <si>
    <t>p.quilty@utas.edu.au</t>
  </si>
  <si>
    <t>McMinn, Andrew/A-9910-2008</t>
  </si>
  <si>
    <t>Truswell, Elizabeth/0000-0003-1848-6961</t>
  </si>
  <si>
    <t>10.1017/S0954102005002865</t>
  </si>
  <si>
    <t>WOS:000232321300015</t>
  </si>
  <si>
    <t>Flowerdew, MJ; Millar, IL; Vaughan, APM; Pankhurst, RJ</t>
  </si>
  <si>
    <t>Age and tectonic significance of the Lassiter Coast Intrusive Suite, Eastern Ellsworth Land, Antarctic Peninsula</t>
  </si>
  <si>
    <t>absolute age; English Coast; granite; Nd isotopes</t>
  </si>
  <si>
    <t>U-PB ZIRCON; PALMER-LAND; SHEAR ZONE; CRUSTAL; GEOCHRONOLOGY; TERRANE; ACCRETION; EVOLUTION; ND; GEOCHEMISTRY</t>
  </si>
  <si>
    <t>Depleted mantle model ages derived from granitoids of the Lassiter Coast Intrusive Suite, sampled over a wide geographical area in eastern Ellsworth Land, Antarctica, cluster between 1000 Ma and 1200 Ma and suggest involvement of Proterozoic crust in the petrogenesis of the suite. Ion-microprobe U-Pb zircon analyses from a small intrusion at Mount Harry, situated at the English Coast, yield a concordant age of 105.2 +/- 1.1 Ma, consistent with published ages from other parts of the Lassiter Coast Intrusive Suite. Significant variation in the Sr and Nd isotope composition of the granitoids, along the extrapolation of the Eastern Palmer Land Shear Zone (a proposed terrane boundary) located close to the English Coast, is not evident. However, the isotope signature at the English Coast is more homogeneous than the Lassiter Coast; this variation may relate to geographical proximity to the Pacific margin during intrusion, may reflect subtle changes in basement with a broadly similar character across the proposed terrane boundary, or suggest that any major fault structure is located further to the north, with implications for the kinematics of regional mid-Cretaceous transpression.</t>
  </si>
  <si>
    <t>NERC, Isotope Geosci Lab, Kingsley Dunham Ctr, Keyworth NG12 5GG, Notts, England; British Antarctic Survey, NERC, Cambridge CB3 0ET, England</t>
  </si>
  <si>
    <t>UK Research &amp; Innovation (UKRI); Natural Environment Research Council (NERC); NERC British Geological Survey; UK Research &amp; Innovation (UKRI); Natural Environment Research Council (NERC); NERC British Antarctic Survey</t>
  </si>
  <si>
    <t>NERC, Isotope Geosci Lab, Kingsley Dunham Ctr, Keyworth NG12 5GG, Notts, England.</t>
  </si>
  <si>
    <t>mf@bas.ac.uk</t>
  </si>
  <si>
    <t>Vaughan, Alan PM/B-7829-2010; Yakymchuk, Chris/H-1297-2013; Millar, Ian L/F-1541-2010</t>
  </si>
  <si>
    <t>Flowerdew, Michael/0000-0002-9710-2593</t>
  </si>
  <si>
    <t>Natural Environment Research Council [NER/B/S/2003/00173] Funding Source: researchfish</t>
  </si>
  <si>
    <t>10.1017/S0954102005002877</t>
  </si>
  <si>
    <t>WOS:000232321300016</t>
  </si>
  <si>
    <t>Siegert, MJ; Carter, S; Tabacco, I; Popov, S; Blankenship, DD</t>
  </si>
  <si>
    <t>A revised inventory of Antarctic subglacial lakes</t>
  </si>
  <si>
    <t>ice sheet; radio-echo sounding; sub-ice water</t>
  </si>
  <si>
    <t>CENTRAL EAST ANTARCTICA; ICE-SHEET; VOSTOK; BENEATH; REGION</t>
  </si>
  <si>
    <t>The locations and details of 145 Antarctic subglacial lakes are presented. The inventory is based on a former catalogue of lake-type features, which has been subsequently reanalysed, and on the results from three additional datasets. The first is from Italian radio-echo sounding (RES) of the Dome C region of East Antarctica, from which 14 new lakes are identified. These data also show that, in a number of occasions, multiple take-type reflectors thought previously to be individual lakes are in fact reflections from the same relatively large take. This reduces the former total of lake-type reflectors by six, but also adds a significant level of information to these particular lakes. The second dataset is from a Russian survey of the Dome A and Dome F regions of East Antarctica, which provides evidence of 18 new lakes and extends the coverage of the inventory considerably. The third dataset comprises three airborne RES surveys under-taken by the US in East Antarctica over the last five years, from which forty three new lakes have been identified. Reference to information on Lake Vostok, from Italian and US surveys taken in the last few years, is now included.</t>
  </si>
  <si>
    <t>Univ Bristol, Sch Geog Sci, Glaciol Ctr, Bristol BS8 1SS, Avon, England; Univ Texas, Inst Geophys, John A &amp; Katherine G Jackson Sch Geosci, Austin, TX 78759 USA; Univ Milan, Dept Earth Sci, I-20129 Milan, Italy; PMGRE, St Petersburg 188512, Russia</t>
  </si>
  <si>
    <t>University of Bristol; University of Texas System; University of Texas Austin; University of Milan</t>
  </si>
  <si>
    <t>Siegert, MJ (corresponding author), Univ Bristol, Sch Geog Sci, Glaciol Ctr, Bristol BS8 1SS, Avon, England.</t>
  </si>
  <si>
    <t>Blankenship, Donald D./G-5935-2010; Siegert, Martin/M-9939-2019; Popov, Sergey V./I-2319-2013; Siegert, Martin J/A-3826-2008; Popov, Sergey/IYJ-2371-2023</t>
  </si>
  <si>
    <t>Siegert, Martin/0000-0002-0090-4806; Popov, Sergey V./0000-0002-1830-8658; Siegert, Martin J/0000-0002-0090-4806; Popov, Sergey/0000-0002-1830-8658</t>
  </si>
  <si>
    <t>10.1017/S0954102005002889</t>
  </si>
  <si>
    <t>WOS:000232321300017</t>
  </si>
  <si>
    <t>Robertson, R</t>
  </si>
  <si>
    <t>Baroclinic and barotropic tides in the Weddell Sea</t>
  </si>
  <si>
    <t>Antarctic Ocean; internal waves</t>
  </si>
  <si>
    <t>COASTAL-TRAPPED WAVES; INTERNAL TIDES; MODEL; ICE; TOPOGRAPHY; EQUATION; CURRENTS</t>
  </si>
  <si>
    <t>Barotropic and baroclinic tides were simulated for the Weddell Sea using ROMS. The model estimates for both tidal elevations and velocities showed good agreement with existing observations. The rms differences were 9 cm for elevations and 1.2-1.7 cm s(-1) for the major axes of the tidal ellipses for the semidiurnal constituents and 6-8 cm and 4.5 cm s(-1) for the diurnal constituents, respectively. Most of the discrepancies occurred deep under the ice shelf for the semidiurnal tides and along the continental slope for the diurnal tides. Along the continental slope, the model overestimated the generation of diurnal continental shelf waves. The diurnal tides were barotropic throughout the basin. However, internal tides were generated at semidiurnal frequencies over rough topography. Over the continental slope, semidiurnal baroclinic tidal generation was enhanced by the existence of continental shelf waves, through their harmonics. Baroclinic tides generated over rough topography in the northern Weddell Sea incited inertial oscillations as they propagated south. These inertial oscillations varied with depth since they were incited at different depths at different times as the internal tide progressed. Both the baroclinic tides and inertial oscillations induced vertical shear in the water column and increased the divergence of the horizontal surface velocities.</t>
  </si>
  <si>
    <t>Columbia Univ, Lamont Doherty Geol Observ, Palisades, NY 10964 USA</t>
  </si>
  <si>
    <t>Columbia Univ, Lamont Doherty Geol Observ, Palisades, NY 10964 USA.</t>
  </si>
  <si>
    <t>rroberts@ldeo.columbia.edu</t>
  </si>
  <si>
    <t>Robertson, Robin/T-5491-2019</t>
  </si>
  <si>
    <t>10.1017/S0954102005002890</t>
  </si>
  <si>
    <t>WOS:000232321300018</t>
  </si>
  <si>
    <t>Six, D; Fily, M; Blarel, L; Goloub, P</t>
  </si>
  <si>
    <t>First aerosol optical thickness measurements at Dome C (East Antarctica), summer season 2003-2004</t>
  </si>
  <si>
    <t>aerosols; Antarctica; sunphotometer; optical thickness; angstrom coefficients</t>
  </si>
  <si>
    <t>SINGLE-SCATTERING ALBEDO; AEROSOL; AERONET; SURFACE; DEPTH; INSTRUMENT; RETRIEVAL</t>
  </si>
  <si>
    <t>In the framework of a calibration project concerning satellite sensors over a remote site of inland Antarctica, the temporal variations of atmospheric aerosol properties have been investigated in relation to their strong influence on the transfer of visible radiation. For this, a sunphotometer was installed at Concordia station (75 degrees S, 123 degrees E, 3200 m a.s.l.) on the Antarctic plateau during summer season 2003-2004. Meteorological parameters were recorded for the same period. Very low aerosol optical thickness values were observed with a mean AOT of 0.02 at 440 nm and 0.007 at 870 nm for clear sky conditions, and a small standard deviation. Angstrom coefficients were high with an average of 1.65 at 440 nm. These values reflect the high purity of the atmosphere and the small size of particles, mainly sulfate aerosols. Higher AOT values are observed under diamond dust conditions (0.025 at 440 nm and 0.013 at 870 nm). Temporal variations are also observed at the daily and seasonal levels. Dome C, therefore, appears to be an excellent site for satellite sensor calibration as well as investigations concerning the background atmospheric composition and global atmosphere changes caused by human activities. (c) 2005 Elsevier Ltd. All rights reserved.</t>
  </si>
  <si>
    <t>UJF, CNRS, Lab Glaciol &amp; Geophys Environm, OSUG, F-38402 St Martin Dheres, France; Univ Sci &amp; Technol Lille, CNRS, UFR Phys, Lab Opt Atmospher, F-59655 Villeneuve Dascq, France</t>
  </si>
  <si>
    <t>Centre National de la Recherche Scientifique (CNRS); Communaute Universite Grenoble Alpes; Universite Grenoble Alpes (UGA); Centre National de la Recherche Scientifique (CNRS); Universite de Lille</t>
  </si>
  <si>
    <t>UJF, CNRS, Lab Glaciol &amp; Geophys Environm, OSUG, 54 Rue Moliere,BP 96, F-38402 St Martin Dheres, France.</t>
  </si>
  <si>
    <t>fily@lgge.obs.ujf-grenoble.fr</t>
  </si>
  <si>
    <t>10.1016/j.atmosenv.2005.05.010</t>
  </si>
  <si>
    <t>964MR</t>
  </si>
  <si>
    <t>WOS:000231885700004</t>
  </si>
  <si>
    <t>Michaux, B; Leschen, RAB</t>
  </si>
  <si>
    <t>East meets west: biogeology of the Campbell Plateau</t>
  </si>
  <si>
    <t>BIOLOGICAL JOURNAL OF THE LINNEAN SOCIETY</t>
  </si>
  <si>
    <t>Alpine Fault; arthropods; Chatham Islands; east Gondwana; New Zealand Subantarctic Islands; West Gondwana</t>
  </si>
  <si>
    <t>SUB-ANTARCTIC ISLANDS; NEW-ZEALAND; SOUTH ISLAND; PHYLOGENETIC-RELATIONSHIPS; WEEVILS COLEOPTERA; SEQUENCE DATA; BIOGEOGRAPHY; PACIFIC; GENUS; STAPHYLINIDAE</t>
  </si>
  <si>
    <t>The New Zealand Subantarctic Islands, emergent remnants of the Campbell Plateau, were given World Heritage status in 1998 in recognition of their importance to global biodiversity. We describe the flora and fauna of these islands and discuss the results of recent phylogenetic analyses. Part of the New Zealand Subantarctic biota appears to be relictual and to be derived from west Gondwana. The relictual element is characterized by genera endemic to the Campbell Plateau that show relationships with taxa of the southern South Island, New Zealand, southern South America, and the north Pacific. In contrast, a younger, east Gondwanan element is composed of species that are either taxonomically identical to widespread mainland species, or endemic species with close New Zealand relatives. Area cladograms support the inclusion of the southern South Island, New Zealand and Macquarie Island (although this is separate geologically) as parts of the Campbell Plateau, but suggest the Chatham Rise and Torlesse terranes of the eastern South Island, New Zealand were originally parts of east Gondwana. East and west Antarctica acted as independent plates during the breakup of Gondwana, and were separated by oceanic crust until a compressive phase sutured them along the trace of the trans-Antarctic mountains during the early Tertiary. The Campbell Plateau microcontinent was connected to west Antarctica until its separation at 80 Mya, contemporaneous with the separation of the southern portion of the Melanesian rift from east Gondwana. Presently the Campbell Plateau is joined to the Melanesian Rift along the Alpine Fault. Cenozoic plate tectonic reconstructions place the Campbell Plateau adjacent to the Melanesian Rift throughout the rift-drift phase, relative motion being confined to strike-slip movement over the last 20 Myr. Our synthesis of phylogenetic and plate tectonic evidence suggests that the Alpine Fault is the most recent development of a much older extensional rift/basin boundary originally separating west and east Gondwana. (c) 2005 The Linnean Society of London</t>
  </si>
  <si>
    <t>New Zealand Arthropod Collect, Auckland, New Zealand</t>
  </si>
  <si>
    <t>Michaux, B (corresponding author), New Zealand Arthropod Collect, Auckland, New Zealand.</t>
  </si>
  <si>
    <t>michaux@xtra.co.nz</t>
  </si>
  <si>
    <t>Leschen, Richard/0000-0001-8549-8933</t>
  </si>
  <si>
    <t>0024-4066</t>
  </si>
  <si>
    <t>1095-8312</t>
  </si>
  <si>
    <t>BIOL J LINN SOC</t>
  </si>
  <si>
    <t>Biol. J. Linnean Soc.</t>
  </si>
  <si>
    <t>10.1111/j.1095-8312.2005.00511.x</t>
  </si>
  <si>
    <t>Evolutionary Biology</t>
  </si>
  <si>
    <t>962ZJ</t>
  </si>
  <si>
    <t>WOS:000231771900007</t>
  </si>
  <si>
    <t>da Silva, JRMC; Cooper, EL; Sinhorini, IL; Borges, JCS; Jensch-Junior, BE; Porto-Neto, LR; Hernandez-Blazquez, FJ; Vellutini, BC; Pressinotti, LN; Costa-Pinto, FA</t>
  </si>
  <si>
    <t>Microscopical study of experimental wound healing in Notothenia coriiceps (Cabecuda) at 0°C</t>
  </si>
  <si>
    <t>CELL AND TISSUE RESEARCH</t>
  </si>
  <si>
    <t>wound healing; inflammation; skin; Antarctic fish; Notothenia coriiceps (Teleostei)</t>
  </si>
  <si>
    <t>AMPHIOXUS BRANCHIOSTOMA-PLATAE; ODONTASTER-VALIDUS KOEHLER; IN-VITRO PHAGOCYTOSIS; HEMICHROMIS-BIMACULATUS; ELECTRON-MICROSCOPY; FINE-STRUCTURE; CICHLID FISH; REGENERATION; TEMPERATURE; TELEOST</t>
  </si>
  <si>
    <t>Notothenia coriiceps (Cabecuda) is an Antarctic benthic fish frequently found with lesions in the tegument caused by seal predation. We have investigated epidermal repair in these animals by means of a microscopic study of experimental wound healing at 0 degrees C. At 24-48 h after wound induction, mucous exudate and necrotic lining cells covered the wound. At 7-14 days, an epidermal tongue could be discerned, folded at the tip, with intercellular oedema between the tip and the wound border. After 23-30 days, the wound was completely closed and the migrating epidermis, with intercellular oedema, was reduced. By 45-90 days, melanocytes progressively increased in the epidermis but no scales were formed. The inflammatory infiltrate was mainly composed of neutrophils after 7 days, at which time they were mostly replaced by macrophages; lymphocytes and plasma cells were also present. The border epidermis slid towards the centre, folding at the tip and finally fusing to form a diaphragm. The cells of the epidermis began to multiply only after complete closure of the wound. The lack of scale formation on induced and naturally found wounds, even after 90 days, suggests that different mechanisms in wound repair occur at 0 degrees C from those in fish from temperate and tropical environment. This is the first report of successful wound repair at polar temperatures, indicating the adaptation of N. coriiceps to the Antarctic environment.</t>
  </si>
  <si>
    <t>Univ Sao Paulo, Dept Cellular &amp; Dev Biol, Biomed Sci Inst, BR-04601000 Sao Paulo, Brazil; Univ Calif Los Angeles, Lab Comparat Neuroimmunol, Dept Neurobiol, David Geffen Sch Med, Los Angeles, CA 90095 USA; Univ Sao Paulo, Dept Pathol, Fac Vet Med, Sao Paulo, Brazil; Univ Sao Paulo, Dept Surg, Fac Vet Med, Sao Paulo, Brazil</t>
  </si>
  <si>
    <t>Universidade de Sao Paulo; University of California System; University of California Los Angeles; University of California Los Angeles Medical Center; David Geffen School of Medicine at UCLA; Universidade de Sao Paulo; Universidade de Sao Paulo</t>
  </si>
  <si>
    <t>Univ Sao Paulo, Dept Cellular &amp; Dev Biol, Biomed Sci Inst, Lineu Prestes 1524,Sala 409, BR-04601000 Sao Paulo, Brazil.</t>
  </si>
  <si>
    <t>jrmcs@usp.br</t>
  </si>
  <si>
    <t>Hernandez-Blazquez, Francisco Javier/K-5450-2014; Borges, João CS/B-9057-2012; Silva, J.R.M.C./H-7496-2016; Costa-Pinto, Frederico/F-7571-2010; Vellutini, Bruno C./H-3831-2019; Porto-Neto, Laercio/D-2594-2012</t>
  </si>
  <si>
    <t>Silva, J.R.M.C./0000-0002-1687-8526; Costa-Pinto, Frederico/0000-0003-1135-2354; Vellutini, Bruno C./0000-0002-0000-9465; Porto-Neto, Laercio/0000-0002-3536-8265</t>
  </si>
  <si>
    <t>0302-766X</t>
  </si>
  <si>
    <t>1432-0878</t>
  </si>
  <si>
    <t>CELL TISSUE RES</t>
  </si>
  <si>
    <t>Cell Tissue Res.</t>
  </si>
  <si>
    <t>10.1007/s00441-005-1139-z</t>
  </si>
  <si>
    <t>Cell Biology</t>
  </si>
  <si>
    <t>958PO</t>
  </si>
  <si>
    <t>WOS:000231460400008</t>
  </si>
  <si>
    <t>Hansen, B</t>
  </si>
  <si>
    <t>Cold regions - United Kingdom unveils mobile, modular Antarctic station</t>
  </si>
  <si>
    <t>CIVIL ENGINEERING</t>
  </si>
  <si>
    <t>ASCE-AMER SOC CIVIL ENGINEERS</t>
  </si>
  <si>
    <t>RESTON</t>
  </si>
  <si>
    <t>1801 ALEXANDER BELL DR, RESTON, VA 20191-4400 USA</t>
  </si>
  <si>
    <t>0885-7024</t>
  </si>
  <si>
    <t>CIVIL ENG</t>
  </si>
  <si>
    <t>Civil Eng.</t>
  </si>
  <si>
    <t>Engineering, Civil</t>
  </si>
  <si>
    <t>962XO</t>
  </si>
  <si>
    <t>WOS:000231766900008</t>
  </si>
  <si>
    <t>Saenko, OA; Fyfe, JC; England, MH</t>
  </si>
  <si>
    <t>On the response of the oceanic wind-driven circulation to atmospheric CO2 increase</t>
  </si>
  <si>
    <t>COUPLED MODEL; CLIMATE; TRANSPORT; ICE</t>
  </si>
  <si>
    <t>A global, flux-corrected climate model is employed to predict the surface wind stress and associated wind-driven oceanic circulation for climate states corresponding to a doubling and quadrupling of the atmospheric CO2 concentration in a simple 1% per year CO2 increase scenario. The model indicates that in response to CO2 increase, the position of zero wind stress curl in the mid-latitudes of the Southern Hemisphere shifts poleward. In addition, the wind stress intensifies significantly in the mid-latitudes of the Southern Hemisphere. As a result, the rate of water circulation in the subpolar meridional overturning cell in the Southern Ocean increases by about 6 Sv ( 1 Sv = 10(6) m(3) s(-1)) for doubled CO2 and by 12 Sv for quadrupled CO2, implying an increase of deep water upwelling south of the circumpolar flow and an increase of Ekman pumping north of it. In addition, the changes in the wind stress and wind stress curl translate into changes in the horizontal mass transport, leading to a poleward expansion of the subtropical gyres in both hemispheres, and to strengthening of the Antarctic Circumpolar Current. Finally, the intensified near-surface winds over the Southern Ocean result in a substantial increase of mechanical energy supply to the ocean general circulation.</t>
  </si>
  <si>
    <t>Meteorol Serv Canada, Canadian Ctr Climate Modelling &amp; Anal, Victoria, BC, Canada; Univ New S Wales, Ctr Environm Modelling &amp; Predict, Sydney, NSW, Australia</t>
  </si>
  <si>
    <t>Environment &amp; Climate Change Canada; Meteorological Service of Canada; Canadian Centre for Climate Modelling &amp; Analysis (CCCma); University of New South Wales Sydney</t>
  </si>
  <si>
    <t>Meteorol Serv Canada, Canadian Ctr Climate Modelling &amp; Anal, Victoria, BC, Canada.</t>
  </si>
  <si>
    <t>oleg.saenko@ec.gc.ca</t>
  </si>
  <si>
    <t>England, Matthew/A-7539-2011</t>
  </si>
  <si>
    <t>England, Matthew/0000-0001-9696-2930</t>
  </si>
  <si>
    <t>10.1007/s00382-005-0032-5</t>
  </si>
  <si>
    <t>971HI</t>
  </si>
  <si>
    <t>WOS:000232374400006</t>
  </si>
  <si>
    <t>Labraga, JC</t>
  </si>
  <si>
    <t>Simulation capability of tropical and extratropical seasonal climate anomalies over South America</t>
  </si>
  <si>
    <t>GENERAL-CIRCULATION MODEL; EL-NINO; PREDICTABILITY; PRECIPITATION</t>
  </si>
  <si>
    <t>An ensemble of 20 extended integrations of the atmospheric model CSIRO Mark 2, forced with the sea-surface temperature observed during the 1986-1998 period, was performed to analyze the simulation capability of seasonal climate anomalies over South America and adjacent oceanic areas. Variations of the simulation skill within the region and during the experimental period were assessed through standard statistical measures and compared to the signal-to-noise ratio distribution. Before the skill assessment, model systematic errors were thoroughly evaluated. The results confirm that the simulation skill is very high in tropical oceanic areas, and decreases rapidly towards middle and high latitudes. Model performance at mid and high atmospheric levels is substantially better than at low levels. Relatively high simulation capability was found over the Pacific Ocean between the equator and the Antarctic coast, which is coherent with the presence of three relative maximums in the signal-to-noise ratio, similar to the increase of the forced variance found by several authors over much of the Pacific-North American pattern region. Rainfall rate and second-order moments associated with the cyclonic activity and the meridional eddy fluxes of heat and humidity are better simulated in a narrow strip parallel to the SPCZ and extending further southeast into mid latitudes of the continent. The simulation skill noticeably improves during the warm and cold ENSO phases, in correspondence with an intensification of the signal-to-noise ratio, and useful rainfall anomaly simulations can be obtained over the Amazonas and Rio de la Plata river basins.</t>
  </si>
  <si>
    <t>Consejo Nacl Invest Cient &amp; Tecn, Ctr Nacl Patagon, Puerto Madryn, Argentina</t>
  </si>
  <si>
    <t>Centro Nacional Patagonico (CENPAT); Consejo Nacional de Investigaciones Cientificas y Tecnicas (CONICET)</t>
  </si>
  <si>
    <t>Consejo Nacl Invest Cient &amp; Tecn, Ctr Nacl Patagon, Puerto Madryn, Argentina.</t>
  </si>
  <si>
    <t>labraga@cenpat.edu.arv</t>
  </si>
  <si>
    <t>10.1007/s00382-005-0039-y</t>
  </si>
  <si>
    <t>WOS:000232374400007</t>
  </si>
  <si>
    <t>Hundertmark, S; Kouchner, A</t>
  </si>
  <si>
    <t>High energy neutrino astronomy</t>
  </si>
  <si>
    <t>COMPTES RENDUS PHYSIQUE</t>
  </si>
  <si>
    <t>neutrino astronomy; extraterrestrial high energy neutrinos</t>
  </si>
  <si>
    <t>COSMIC-RAYS; ASTROPHYSICAL SOURCES; TELESCOPE; FLUX; DETECTOR; PHYSICS; SEARCH; AMANDA; DEEP; CASCADES</t>
  </si>
  <si>
    <t>Traditionally photons are used to study the Universe, but, at high energies, absorption of photons renders it opaque. Neutrinos, interacting only weakly, are good alternative candidates to probe the high energy Universe over cosmological distances. Pioneering experiments utilizing the neutrino as messenger have been taking data for about a decade, but so far no source of extraterrestrial high energy neutrinos could be identified. Detection requires km(3) detectors, planned to be operated deep underwater or under ice. While several projects are studying the feasibility of such a detector in the Mediterranean Sea, the construction of an Antarctic array has already started.</t>
  </si>
  <si>
    <t>APC, Lab Astropart &amp; Cosmol, F-75231 Paris, France; Stockholm Univ, Dept Phys, AlbaNova Univ Ctr, S-10691 Stockholm, Sweden; CEA Saclay, DAPNIA, F-91191 Gif Sur Yvette, France</t>
  </si>
  <si>
    <t>Universite PSL; Observatoire de Paris; CEA; Centre National de la Recherche Scientifique (CNRS); Universite Paris Cite; Stockholm University; Universite Paris Saclay; CEA</t>
  </si>
  <si>
    <t>Kouchner, A (corresponding author), APC, Lab Astropart &amp; Cosmol, 11 Pl Marcelin Berthelot, F-75231 Paris, France.</t>
  </si>
  <si>
    <t>stephan.hundertmark@physto.se; kouchner@cea.fr</t>
  </si>
  <si>
    <t>Kouchner, Antoine/0000-0001-7068-2113</t>
  </si>
  <si>
    <t>23 RUE LINOIS, 75724 PARIS, FRANCE</t>
  </si>
  <si>
    <t>1631-0705</t>
  </si>
  <si>
    <t>CR PHYS</t>
  </si>
  <si>
    <t>C. R. Phys.</t>
  </si>
  <si>
    <t>10.1016/j.crhy.2005.06.009</t>
  </si>
  <si>
    <t>976DL</t>
  </si>
  <si>
    <t>WOS:000232712900010</t>
  </si>
  <si>
    <t>Beaman, RJ; Harris, PT</t>
  </si>
  <si>
    <t>Bioregionalization of the George V Shelf, East Antarctica</t>
  </si>
  <si>
    <t>CONTINENTAL SHELF RESEARCH</t>
  </si>
  <si>
    <t>geomorphology; sediments; oceanography; iceberg scouring; polynyas; macrobenthos; Antarctica; George v Shelf; 67 degrees 15 ' S; 142 degrees-E-65 degrees 45 ' S; 146 degrees E</t>
  </si>
  <si>
    <t>MARINE BENTHIC COMMUNITIES; SOUTH SHETLAND ISLANDS; MERTZ GLACIER POLYNYA; WILKES LAND MARGIN; CONTINENTAL-SHELF; WEDDELL SEA; DEEP-SEA; LATE PLEISTOCENE; ECOLOGICAL ROLE; MCMURDO SOUND</t>
  </si>
  <si>
    <t>The East Antarctic continental shelf has had very few studies examining the macrobenthos structure or relating biological communities to the abiotic environment. In this study, we apply a hierarchical method of benthic habitat mapping to Geomorphic Unit and Biotope levels at the local (10s of kilometers) scale across the George V Shelf between longitudes 142 degrees E and 146 degrees E. We conducted a multi-disciplinary analysis of seismic profiles, multibeam sonar, oceanographic data and the results of sediment sampling to define geomorphology, surficial sediment and near-seabed water mass boundaries. Geographic information system models of these oceanographic and geophysical features increase the detail of previously known seabed maps and provide new maps of seafloor characteristics. Kriging surface modeling on data includes maps to assess uncertainty within the predicted models. A study of underwater photographs and the results of limited biological sampling provide information to infer the dominant trophic structure of benthic communities within geomorphic features. The study reveals that below the effects of iceberg scour (depths &gt; 500 m) in the basin, broad-scale distribution of macrofauna is largely determined by substrate type, specifically mud content. In waters within the direct influence of glacial ice (depths &lt; 500 m) on the banks, scouring by icebergs is a strong limiting factor in the distribution of macrobenthos. In areas protected from iceberg scour disturbance, such as on the outer shelf banks and slope, the direction and speed of oceanic currents are the likely dominant abiotic factor in the broad-scale distribution of macrofauna. This hierarchical method of benthic habitat mapping could be applied circum-Antarctic for comparison against other geographic areas, and would assist authorities responsible for developing ecosystem-based plans by identifying the different types of marine habitats and their associated biological communities at varying scales on the Antarctic shelf. (c) 2005 Elsevier Ltd. All rights reserved.</t>
  </si>
  <si>
    <t>Univ Tasmania, Sch Geog &amp; Environm Studies, Hobart, Tas 7001, Australia; Geosci Australia, Marine &amp; Coastal Environm Grp, Canberra, ACT 2601, Australia</t>
  </si>
  <si>
    <t>University of Tasmania; Geoscience Australia</t>
  </si>
  <si>
    <t>Univ Tasmania, Sch Geog &amp; Environm Studies, Private Bag 78, Hobart, Tas 7001, Australia.</t>
  </si>
  <si>
    <t>rbeaman@iig.com.au</t>
  </si>
  <si>
    <t>Harris, Peter/AAI-7100-2020</t>
  </si>
  <si>
    <t>0278-4343</t>
  </si>
  <si>
    <t>1873-6955</t>
  </si>
  <si>
    <t>CONT SHELF RES</t>
  </si>
  <si>
    <t>Cont. Shelf Res.</t>
  </si>
  <si>
    <t>10.1016/j.csr.2005.04.013</t>
  </si>
  <si>
    <t>966DP</t>
  </si>
  <si>
    <t>WOS:000232000100002</t>
  </si>
  <si>
    <t>Fieux, M; Molcard, R; Morrow, R</t>
  </si>
  <si>
    <t>Water properties and transport of the Leeuwin Current and Eddies off Western Australia</t>
  </si>
  <si>
    <t>Indian Ocean; Leeuwin Current; hydrology; eddy; transport</t>
  </si>
  <si>
    <t>INDIAN-OCEAN; HYDROGRAPHIC SECTION; BOUNDARY CURRENTS; CIRCULATION; COAST</t>
  </si>
  <si>
    <t>Hydrological data from the western coast of Australia to 110 degrees E are used together with direct velocity observations to investigate the water mass distribution and the associated circulation. High spatial variability reflects advective features related to the turbulent character of the Leeuwin region. The correlation between the sea surface temperature and the sea surface salinity distributions and the upper layer circulation depicts a southward warm and fresh Leeuwin Current along the coast with several branchings and three anticyclonic eddies offshore. The strongest eddy includes a thick surface mixed layer of 220 m and perturbs the hydrological structure down to more than 2000 m. The net transports through the four sections are northward in the upper layers with larger transports through the southern sections, which imply a westward transport just north of Abrolhos Islands. In the intermediate and deep-water layers, the net transport is southward across the southern section and divergent, implying an eastern inflow around 29 degrees S. The data confirm that Subantarctic Mode Water is spreading north while the Antarctic Intermediate Water appears to recirculate to the south along the eastern rim of the Perth Basin. (c) 2005 Elsevier Ltd. All rights reserved.</t>
  </si>
  <si>
    <t>GRGS, LEGOS, F-31401 Toulouse, France; Univ Paris 06, LODYC, F-75252 Paris, France</t>
  </si>
  <si>
    <t>Universite de Toulouse; Universite Toulouse III - Paul Sabatier; Centre National de la Recherche Scientifique (CNRS); Institut de Recherche pour le Developpement (IRD); Laboratoire d'Etudes en Geophysique et oceanographie spatiales; Sorbonne Universite</t>
  </si>
  <si>
    <t>GRGS, LEGOS, 18 Ave Edouard Belin, F-31401 Toulouse, France.</t>
  </si>
  <si>
    <t>rosemary.morrow@cnes.fr</t>
  </si>
  <si>
    <t>10.1016/j.dsr.2005.03.013</t>
  </si>
  <si>
    <t>960KP</t>
  </si>
  <si>
    <t>WOS:000231589700003</t>
  </si>
  <si>
    <t>Rex, MA; Crame, JA; Stuart, CT; Clarke, A</t>
  </si>
  <si>
    <t>Large-scale biogeographic patterns in marine mollusks: A confluence of history and productivity?</t>
  </si>
  <si>
    <t>bathymetric gradients; history; latitudinal gradients; marine mollusks; productivity; species diversity</t>
  </si>
  <si>
    <t>LATITUDINAL DIVERSITY GRADIENTS; DEEP-SEA; SPECIES-DIVERSITY; BATHYMETRIC PATTERNS; TAXONOMIC DIVERSITY; POLYCHAETE DIVERSITY; COMMUNITY STRUCTURE; SPATIAL-PATTERNS; BODY-SIZE; BIODIVERSITY</t>
  </si>
  <si>
    <t>Large-scale biogeographic patterns in marine systems are considerably less well documented and understood than those in terrestrial systems. Here, we synthesize recent evidence on latitudinal and bathymetric gradients of species diversity in benthic mollusks, one of the most diverse and intensively studied marine taxa. Latitudinal gradients in coastal faunas show poleward declines in diversity, but the patterns are highly asymmetrical between hemispheres, and irregular both within and among regions. The extensive fossil record of mollusks reveals that latitudinal gradients have become steeper during the Neogene, partly because of a rapid diversification in tropical coral reefs and their associated biotas. Much of the inter-regional variation in contemporary latitudinal trends depends on the longitudinal distribution of reefs and major Neogene vicariant events. Thus, coastal faunas reveal a strong evolutionary-historical legacy. Bathymetric and latitudinal gradients in the deep ocean suggest that molluscan diversity is a function of the rate of nutrient input from surface production. Diversity may be depressed at abyssal depths because of extremely low rates of organic carbon flux, and at upper bathyal depths and high latitudes by pulsed nutrient loading. While the deep-sea environment is not conducive to fossilization, relationships between local and regional diversity, and the distribution and age of higher taxa indicate an evolutionary signal in present-day diversity gradients. Marine invertebrate communities offer tremendous potential to determine the relative importance of history and ecological opportunity in shaping large-scale patterns of species diversity.</t>
  </si>
  <si>
    <t>Univ Massachusetts, Dept Biol, Boston, MA 02125 USA; British Antarctic Survey, Cambridge CB3 0ET, England</t>
  </si>
  <si>
    <t>University of Massachusetts System; University of Massachusetts Boston; UK Research &amp; Innovation (UKRI); Natural Environment Research Council (NERC); NERC British Antarctic Survey</t>
  </si>
  <si>
    <t>Univ Massachusetts, Dept Biol, 100 Morrissey Blvd, Boston, MA 02125 USA.</t>
  </si>
  <si>
    <t>michael.rex@umb.edu</t>
  </si>
  <si>
    <t>10.1890/04-1056</t>
  </si>
  <si>
    <t>957MJ</t>
  </si>
  <si>
    <t>WOS:000231373600004</t>
  </si>
  <si>
    <t>Phillips, RA; Silk, JRD; Croxall, JP; Afanasyev, V; Bennett, VJ</t>
  </si>
  <si>
    <t>Summer distribution and migration of nonbreeding albatrosses: Individual consistencies and implications for conservation</t>
  </si>
  <si>
    <t>conservation; differential migration; interspecific competition; sexual segregation; winter philopatry</t>
  </si>
  <si>
    <t>BLACK-BROWED ALBATROSS; LONGLINE FISHING VESSELS; FORAGING AREA FIDELITY; WANDERING ALBATROSSES; WINTER PHILOPATRY; SOUTHERN-OCEAN; POPULATION-STRUCTURE; SATELLITE TRACKING; DIOMEDEA-EXULANS; PATAGONIAN SHELF</t>
  </si>
  <si>
    <t>Many birds show a surprising degree of intraspecific variability in migratory tendency and choice of wintering site. In this study, we tracked the seasonal movements of 35 nonbreeding Black-browed Albatrosses Thalassarche melanophrys from South Georgia, including 24 birds followed in two consecutive years. This revealed consistent patterns of status-related, sex-specific, and individual variation in wintering strategies, and provided the first description of the summer distribution of failed/deferring breeders. Individuals exhibited a striking degree of site fidelity, returning to the same region (southwest Africa or Australia) and showing correlated centers of distribution, as well as remarkable consistency in the chronology of their movements, in consecutive years. Nonetheless, a degree of behavioral flexibility remained, and particularly on the return migration, birds moved between, or bypassed, alternative intermediate staging sites depending on local circumstances. Initiation of the outward migration varied according to breeding status, timing of failure, and sex: deferring breeders and those that failed early departed two months before successful birds, and successful females departed 1-2 weeks earlier than males. Sex-related latitudinal variation in distribution was also apparent, with females wintering farther north within the Benguela system. Moreover, the only migrant to Australia was a male, supporting an apparent tendency for male-biased breeding dispersal inferred from genetic analyses. Distribution and timing of movements appeared in general to relate to avoidance of competition from congeners and conspecifics from other populations. From a conservation perspective, the study indicated that, for the declining Black-browed Albatross population at South Georgia, the primary focus should be toward improving the management (especially reducing bycatch levels) of fisheries in the central and eastern South Atlantic.</t>
  </si>
  <si>
    <t>10.1890/04-1885</t>
  </si>
  <si>
    <t>WOS:000231373600014</t>
  </si>
  <si>
    <t>Forcada, J; Trathan, PN; Reid, K; Murphy, EJ</t>
  </si>
  <si>
    <t>The effects of global climate variability in pup production of Antarctic fur seals</t>
  </si>
  <si>
    <t>Antarctic fur seals; Bird Island South Georgia; climate perturbations; demography; El Nino; environmental autocorrelation; fur seal pup production; mixed-effects models; power spectrum; sea surface temperature; SST; Southern Ocean; variance components</t>
  </si>
  <si>
    <t>KRILL POPULATION-DYNAMICS; ARCTOCEPHALUS-GAZELLA; CIRCUMPOLAR WAVE; SOUTH-GEORGIA; MARINE ECOSYSTEM; OCEAN; PREDATORS; TELECONNECTIONS; FLUCTUATIONS; ABUNDANCE</t>
  </si>
  <si>
    <t>Climate variability has strong effects on marine ecosystems, with repercussions that range in scale from those that impact individuals to those that impact the entire food web. Climate-induced changes in the abundance of species in lower trophic levels can cascade up to apex predators by depressing vital rates. However, the characteristics and predictability of predator demographic responses remain largely unexplored. We investigated the detectability, limits, and nonlinearity of changes in Antarctic fur seal pup production at South Georgia over a 20-year period in response to environmental autocorrelation created by global climate perturbations; these were identified in time series of monthly averaged sea surface temperature (SST). Environmental autocorrelation at South Georgia was evident with frequent SST anomalies between 1990 and 1999, during a decade of warm background (time-averaged) conditions. SST anomalies were preceded by, and cross-correlated,with, frequent El Nino-La Nina events between 1987 and 1998, which was also a decade of warm background conditions in the tropical Pacific Ocean. Nonlinear mixed-effects models indicated that positive anomalies at South Georgia explained extreme reductions in Antarctic fur seal pup production over 20 years of study. Simulated environmental time series suggested that the effect of anomalies on Antarctic fur seals was only detectable within a narrow range of positive SST, regardless of the distribution, variance, and autocorrelation structure in SST; this explained the observed nonlinearity in responses in pup production, which were observed only under persistent high SST levels. Such anomalies at South Georgia were likely associated with low availability of prey, largely krill, which affected Antarctic fur seal females over time scales longer than their breeding cycle. Reductions in Antarctic fur seal pup production could thus be predicted in advance by the detection of large-scale anomalies, which appeared to be driven by trends in global climate perturbation.</t>
  </si>
  <si>
    <t>British Antarctic Survey, NERC, Madingley Rd, Cambridge CB3 0ET, England.</t>
  </si>
  <si>
    <t>jfor@bas.ac.uk</t>
  </si>
  <si>
    <t>10.1890/04-1153</t>
  </si>
  <si>
    <t>WOS:000231373600016</t>
  </si>
  <si>
    <t>Morley, SA; Belchier, M; Dickson, J; Mulvey, T</t>
  </si>
  <si>
    <t>Daily otolith increment validation in larval mackerel icefish, Champsocephalus gunnari</t>
  </si>
  <si>
    <t>age validation; daily otolith increments; growth; Champsocephalus gunnari; mackerel icefish; first feeding check</t>
  </si>
  <si>
    <t>SOUTH-GEORGIA; GROWTH; FISH; AGE; MICROSTRUCTURE</t>
  </si>
  <si>
    <t>Mackerel icefish, Champsocephalus gunnari, larvae were sampled by weekly plankton tows in Cumberland Bay South Georgia. The formation of daily growth increments in sagittal otoliths was validated from larvae sampled 34 days apart. A mean increase of 33.7 increments occurred during this period, one per day. A major growth check 25-26 days after the hatch check may indicate the length of the yolk sac stage. (c) 2005 Elsevier B.V. All rights reserved.</t>
  </si>
  <si>
    <t>British Antarctic Survey, NERC, Madingley Rd,High Cross, Cambridge CB3 0ET, England.</t>
  </si>
  <si>
    <t>smor@bas.ac.uk</t>
  </si>
  <si>
    <t>10.1016/j.fishres.2005.04.008</t>
  </si>
  <si>
    <t>956MP</t>
  </si>
  <si>
    <t>WOS:000231304300016</t>
  </si>
  <si>
    <t>Van Simaeys, S; Brinkhuis, H; Pross, J; Williams, GL; Zachos, JC</t>
  </si>
  <si>
    <t>Arctic dinoflagellate migrations mark the strongest Oligocene glaciations</t>
  </si>
  <si>
    <t>Oligocene; dinoflagellate cysts; migration; global atmospheric cooling; sea-level change; Rupelian-Chattian boundary</t>
  </si>
  <si>
    <t>CALIBRATION; BOUNDARY; TRANSITION; RECORDS; REGION; CYSTS</t>
  </si>
  <si>
    <t>Here we report on mid-Oligocene globally synchronous Arctic dinotlagellate migration events, calibrated against chron C9n. We show that sudden appearances and marked abundance increases of the Arctic taxon Svalbardella at lower and middle latitudes coincide with the Oi-2b benthic delta(18)O glacial episode, dated as ca. 27.1 Ma. These unprecedented migrations are taken to indicate anomalously strong surface-water cooling during Oi-2b time, in turn associated with strong concomitant Antarctic ice-sheet growth and sea-level lowering. We estimate the duration of these unique Svalbardella migrations and the associated episode of profound cooling as similar to 500 k.y. Our records suggest a close link between this distinct Oligocene glaciation episode, strong sea-level fall, and the classic lower-upper Oligocene, or Rupelian-Chattian, boundary, dating this boundary as ca. 27.1 Ma.</t>
  </si>
  <si>
    <t>Univ Louvain, B-3000 Louvain, Belgium; Univ Utrecht, Palaeobot &amp; Palynol Lab, Dept Palaeoecol, NL-3584 CD Utrecht, Netherlands; Univ Frankfurt, Inst Geol &amp; Palaeontol, D-60054 Frankfurt, Germany; Geol Survey Canada Atlantic, Bedford Inst Oceanog, Dartmouth, NS B2Y 4A2, Canada; Univ Calif Santa Cruz, Dept Earth Sci, Santa Cruz, CA 95064 USA</t>
  </si>
  <si>
    <t>Utrecht University; Goethe University Frankfurt; Natural Resources Canada; Lands &amp; Minerals Sector - Natural Resources Canada; Geological Survey of Canada; Bedford Institute of Oceanography; University of California System; University of California Santa Cruz</t>
  </si>
  <si>
    <t>Van Simaeys, S (corresponding author), Univ Louvain, Redingenstr 16, B-3000 Louvain, Belgium.</t>
  </si>
  <si>
    <t>stefaan.vansimaeys@geo.kuleuven.ac.be</t>
  </si>
  <si>
    <t>Brinkhuis, Henk/B-4223-2009; Brinkhuis, Henk/IUO-8165-2023; Zachos, James/A-7674-2008</t>
  </si>
  <si>
    <t>Brinkhuis, Henk/0000-0003-0253-6610; Zachos, James/0000-0001-8439-1886</t>
  </si>
  <si>
    <t>0016-8505</t>
  </si>
  <si>
    <t>10.1130/G21634.1</t>
  </si>
  <si>
    <t>960JF</t>
  </si>
  <si>
    <t>WOS:000231585800005</t>
  </si>
  <si>
    <t>Moreau, J; Ghienne, JF; Le Heron, DP; Rubino, JL; Deynoux, M</t>
  </si>
  <si>
    <t>440 Ma ice stream in North Africa</t>
  </si>
  <si>
    <t>SUBSEQUENT RETREAT HISTORY; LAST GLACIAL MAXIMUM; ANTARCTIC PENINSULA; CANADIAN SHIELD; SHEET; BASIN</t>
  </si>
  <si>
    <t>Landsat images, ASTER digital elevation models, aerial photographs, and field investigations in the western Murzuq Basin (Libya) and the adjacent Tassili N'Ajjers (Algeria) provide paleogeomorphological evidence for the existence of a Late Ordovician ice stream at least 200 km long and 80 km wide. This includes mega-scale glacial lineations, an associated subglacial meltwater drainage system, and ice-front features. This first comprehensive description of a pre-Cenozoic ice stream may help to identify other examples in the Proterozoic to Paleozoic glacial record. Reconstruction of the extent and behavior of former ice sheets, and reservoir prospect analysis in glacially related successions, have to take into account the potential occurrence of ice streams.</t>
  </si>
  <si>
    <t>Ecole Observ Sci Terre, Ctr Geochim Surface, F-67084 Strasbourg, France; CASP, Dept Earth Sci, Cambridge CB3 0DH, England; Ctr Sci &amp; Tech Jean Feger, F-64018 Pau, France</t>
  </si>
  <si>
    <t>University of Cambridge; Total SA; Centre Scientifique et Technique Jean Feger (CSTJF)</t>
  </si>
  <si>
    <t>Moreau, J (corresponding author), Ecole Observ Sci Terre, Ctr Geochim Surface, 1 Rue Blessig, F-67084 Strasbourg, France.</t>
  </si>
  <si>
    <t>Moreau, Julien/L-9241-2016; Le Heron, Daniel/AAK-7639-2020</t>
  </si>
  <si>
    <t>Moreau, Julien/0000-0002-0686-9482; Le Heron, Daniel/0000-0002-7213-5874; Ghienne, JF/0000-0002-9448-5285</t>
  </si>
  <si>
    <t>GEOLOGICAL SOC AMERICA, INC</t>
  </si>
  <si>
    <t>10.1130/G21782.1</t>
  </si>
  <si>
    <t>WOS:000231585800016</t>
  </si>
  <si>
    <t>Foley, KM</t>
  </si>
  <si>
    <t>Antarctic coastal change and glaciology</t>
  </si>
  <si>
    <t>GEOTIMES</t>
  </si>
  <si>
    <t>USGS, Denver, CO USA</t>
  </si>
  <si>
    <t>United States Department of the Interior; United States Geological Survey</t>
  </si>
  <si>
    <t>Foley, KM (corresponding author), USGS, Denver, CO USA.</t>
  </si>
  <si>
    <t>AMER GEOLOGICAL INST</t>
  </si>
  <si>
    <t>4220 KING ST, ALEXANDRIA, VA 22302-1507 USA</t>
  </si>
  <si>
    <t>0016-8556</t>
  </si>
  <si>
    <t>Geotimes</t>
  </si>
  <si>
    <t>962SI</t>
  </si>
  <si>
    <t>WOS:000231752200033</t>
  </si>
  <si>
    <t>Dmitrenko, IA; Tyshko, KN; Kirillov, SA; Eicken, H; Hölemann, JA; Kassens, H</t>
  </si>
  <si>
    <t>Impact of flaw polynyas on the hydrography of the Laptev Sea</t>
  </si>
  <si>
    <t>hydrography; polynya; ice production; salinity variance; convection</t>
  </si>
  <si>
    <t>ARCTIC-OCEAN; FAST ICE; CONVECTION; EXPORT; LEADS</t>
  </si>
  <si>
    <t>Based on hydrological data from 1979 to 1999 the average long-term salinity of the flaw polynya in the Eastern Laptev Sea is estimated. A new method to evaluate ice production based on hydrological rather than sea-ice observations is proposed. Average annual ice production in the polynya ranges between 3 and 4 m. The probability of convective mixing penetrating down to the seafloor is highest in the regions of the flaw polynya, but does not exceed 20% in the Eastern and 70% in the Western Laptev Sea. Conductivity-temperature-depth (CTD) measurements and observations of currents carried out in April-May 1999 allowed us to investigate the surface circulation along the margins of the Laptev Sea flaw polynya. The convective nature of the surface currents, with velocities measured as high as 62 cm/s, is discussed. Currents are most likely part of circulation cells, which arise as a result of brine rejection due to intensive ice formation in the polynya. It is shown that the spatial alignment of sea ice crystals in the marginal part of the polynya is most likely a consequence of the quasi-stationary cellular circulation. (c) 2005 Elsevier B.V. All rights reserved.</t>
  </si>
  <si>
    <t>Univ Alaska Fairbanks, Inst Arctic Res Ctr, Fairbanks, AK 99775 USA; State Res Ctr Russian Federat, Arctic &amp; Antarctic Res Inst, St Petersburg, Russia; Univ Alaska Fairbanks, Inst Geophys, Fairbanks, AK 99775 USA; Alfred Wegener Inst Polar &amp; Marine Res, D-2850 Bremerhaven, Germany; Univ Kiel, Ctr Marine Geosci, Kiel, Germany</t>
  </si>
  <si>
    <t>University of Alaska System; University of Alaska Fairbanks; Arctic &amp; Antarctic Research Institute; University of Alaska System; University of Alaska Fairbanks; Helmholtz Association; Alfred Wegener Institute, Helmholtz Centre for Polar &amp; Marine Research; University of Kiel</t>
  </si>
  <si>
    <t>Univ Alaska Fairbanks, Inst Arctic Res Ctr, 930 Koyukuk Dr,POB 757335, Fairbanks, AK 99775 USA.</t>
  </si>
  <si>
    <t>igordm@iarc.uaf.edu</t>
  </si>
  <si>
    <t>Hoelemann, Jens/N-3608-2016; Eicken, Hajo/M-6901-2016</t>
  </si>
  <si>
    <t>Dmitrenko, Igor/0000-0001-8388-7839</t>
  </si>
  <si>
    <t>10.1016/j.gloplacha.2004.12.016</t>
  </si>
  <si>
    <t>966IJ</t>
  </si>
  <si>
    <t>WOS:000232013000002</t>
  </si>
  <si>
    <t>Eicken, H; Dmitrenko, I; Tyshko, K; Darovskikh, A; Dierking, W; Blahak, U; Groves, J; Kassens, H</t>
  </si>
  <si>
    <t>Zonation of the Laptev Sea landfast ice cover and its importance in a frozen estuary</t>
  </si>
  <si>
    <t>sea ice; estuary; stable isotope geochemistry; arctic shelves; synthetic aperture radar; remote sensing</t>
  </si>
  <si>
    <t>ARCTIC RIVER-RUNOFF; BEAUFORT SEA; BACKSCATTER CHARACTERISTICS; SEDIMENT TRANSPORT; FRESH-WATER; LENA RIVER; OCEAN; ALASKA; CIRCULATION; DISCHARGE</t>
  </si>
  <si>
    <t>The interaction between river water and landfast sea ice was investigated through synthetic aperture radar (SAR) remote sensing, ice-growth modeling, and ground-based ice-core and hydrographic studies in the Laptev Sea, Siberian Arctic, in 1996/1997 and 1998/1999. Ice-core data in conjunction with ice-growth and SAR backscatter modeling demonstrated that the contrasts in dielectric and microstructural properties between freshwater/brackish (salinity &lt; 1 parts per thousand) and sea ice allow a mapping of the distribution of freshwater and brackish ice as influenced by Lena River discharge. This brackish zone (surface water salinities &lt; 5) extended over 2000-3000 km(2) inshore of the 10-m isobath and exhibited distinct SAR backscatter coefficients and image texture. In the nearshore zone, bottomfast ice growth could be identified and tracked over the growth season. Occupying up to 250 km(2) along the Lena Delta, bottomfast ice was not as widespread as previously hypothesized, possibly due to ice being thinner by 10-20% relative to the signatures of any ice long-term mean. In SAR and ERS-2 scatterometer data, Laptev Sea landfast ice exhibits the lowest backscatter si a type in the Arctic Ocean, due to the lack of major deformation features. Stable-isotope data show that the landfast ice is composed of about 62% of river water, locking up 24% of the total annual Lena and Yana discharge. From ice-growth/isotopic-fractionation modeling and ice-core analysis, time series of surface water salinity have been derived, indicating freshening of under-ice waters during winter and north-/northeastward spreading of the river plume with under-ice spreading rates of 1.0-2.7 cm s(-1). A river freshwater budget for the inner Laptev shelf indicates flushing times of a year or more with cross-shelf export of 627 km(3) during the winter of 1998/1999. Based on these findings, the southeastern Laptev Sea can be considered an open, seasonally frozen estuary. This system contrasts with North American shelf environments, which show a different response to climate variability and change. (c) 2005 Elsevier B.V. All rights reserved.</t>
  </si>
  <si>
    <t>Univ Alaska Fairbanks, Inst Geophys, Fairbanks, AK 99775 USA; Univ Alaska Fairbanks, Int Arctic Res Ctr, Fairbanks, AK USA; Arctic &amp; Antarctic Res Inst, St Petersburg, Russia; Alfred Wegener Inst Polar &amp; Marine Res, D-2850 Bremerhaven, Germany; Univ Kiel, Leibniz Inst Marine Sci, Kiel, Germany</t>
  </si>
  <si>
    <t>University of Alaska System; University of Alaska Fairbanks; University of Alaska System; University of Alaska Fairbanks; Arctic &amp; Antarctic Research Institute; Helmholtz Association; Alfred Wegener Institute, Helmholtz Centre for Polar &amp; Marine Research; University of Kiel; Helmholtz Association; GEOMAR Helmholtz Center for Ocean Research Kiel</t>
  </si>
  <si>
    <t>Univ Alaska Fairbanks, Inst Geophys, Fairbanks, AK 99775 USA.</t>
  </si>
  <si>
    <t>hajo.eicken@gi.alaska.edu</t>
  </si>
  <si>
    <t>Eicken, Hajo/M-6901-2016</t>
  </si>
  <si>
    <t>10.1016/j.gloplacha.2004.12.005</t>
  </si>
  <si>
    <t>WOS:000232013000004</t>
  </si>
  <si>
    <t>Wegner, C; Hölemann, JA; Dmitrenko, I; Kirillov, S; Kassens, H</t>
  </si>
  <si>
    <t>Seasonal variations in Arctic sediment dynamics -: evidence from 1-year records in the Laptev Sea (Siberian Arctic)</t>
  </si>
  <si>
    <t>sediment transport; continental shelf; ice; arctic; Siberia; Laptev Sea</t>
  </si>
  <si>
    <t>RIVER DISCHARGE; ICE; TRANSPORT; SHELF; PARTICLES; KARA; VARIABILITY; FRAZIL; IMPACT</t>
  </si>
  <si>
    <t>Sediment dynamics on the Laptev Sea shelf (Siberian Arctic), which is ice-covered for about 9 months a year, were studied for a I-year period. Two oceanographic bottom-mooring stations equipped with an Acoustic Doppler Current Profiler (ADCP) and a Conductivity Temperature Depth meter (CTD) were deployed on the eastern Laptev Sea shelf between August 1998 and September 1999. Thus, for the first time information on current, suspended particulate matter (SPM), and bottom temperature variations were provided throughout one seasonal cycle for a Siberian shelf sea. The data set indicates that during and shortly after the river-ice breakup (June-early July) sediment transport is dominated by riverine input and transport onto the eastern Laptev Sea shelf within the surface layer beneath the fast ice. Under ice-free conditions (mid-July to September), SPM is mainly trapped on the eastern Laptev Sea shelf SPM discharged by the Lena River is transported within the surface layer to the mid-shelf where it sinks through the water column into the bottom nepheloid layer only to be carried back onto the inner shelf again together with newly resuspended bottom material. On the inner shelf the material is partly transported back into the surface layer by turbid mixing and carried out onto the mid-shelf again. During freeze-up (October), SPM in the surface layer on the inner shelf is incorporated into newly formed ice and transported with the ice over the continental margin into the deep Arctic Ocean. Beneath the ice cover (November to June-July) SPM slowly sinks and sediment transport is of minor importance on the inner shelf. However, beneath the polynya, bottom material is resuspended during storm events and transported onto the inner shelf where it temporarily settles. The study suggests a quasi-estuarine sediment circulation on the eastern Laptev Sea shelf, especially during ice-free conditions, and sediment export dominated by ice rather than bottom transport. (c) 2005 Elsevier B.V. All rights reserved.</t>
  </si>
  <si>
    <t>IFM, GEOMAR, Leibniz Inst Marine Sci, D-24148 Kiel, Germany; Alfred Wegener Inst Polar &amp; Marine Res, D-2850 Bremerhaven, Germany; Univ Alaska, Inst Arctic Res Ctr, Fairbanks, AK 99701 USA; State Res Ctr, Arctic &amp; Antarctic Res Inst, St Petersburg, Russia</t>
  </si>
  <si>
    <t>Helmholtz Association; GEOMAR Helmholtz Center for Ocean Research Kiel; Helmholtz Association; Alfred Wegener Institute, Helmholtz Centre for Polar &amp; Marine Research; University of Alaska System; University of Alaska Fairbanks; Arctic &amp; Antarctic Research Institute</t>
  </si>
  <si>
    <t>IFM, GEOMAR, Leibniz Inst Marine Sci, Wischhofstr 1-3,Bldg C4, D-24148 Kiel, Germany.</t>
  </si>
  <si>
    <t>cwegner@ifm-geomar.de</t>
  </si>
  <si>
    <t>Hoelemann, Jens/N-3608-2016</t>
  </si>
  <si>
    <t>10.1016/j.gloplacha.2004.12.009</t>
  </si>
  <si>
    <t>WOS:000232013000008</t>
  </si>
  <si>
    <t>Tosh, J</t>
  </si>
  <si>
    <t>The last great quest: Captain Scott's Antarctic sacrifice.</t>
  </si>
  <si>
    <t>HISTORICAL JOURNAL</t>
  </si>
  <si>
    <t>0018-246X</t>
  </si>
  <si>
    <t>HIST J</t>
  </si>
  <si>
    <t>Hist. J.</t>
  </si>
  <si>
    <t>10.1017/S0018246X05294815</t>
  </si>
  <si>
    <t>974IK</t>
  </si>
  <si>
    <t>WOS:000232584700019</t>
  </si>
  <si>
    <t>Mokhov, II; Bezverkhny, VA; Karpenko, AA</t>
  </si>
  <si>
    <t>Diagnosis of relative variations in atmospheric greenhouse gas contents and temperature from Vostok antarctic ice-core paleoreconstructions</t>
  </si>
  <si>
    <t>IZVESTIYA ATMOSPHERIC AND OCEANIC PHYSICS</t>
  </si>
  <si>
    <t>WAVELET-TRANSFORM</t>
  </si>
  <si>
    <t>The evolution of radiation-active atmospheric components and climatic characteristics derived from Vostok Antarctic ice-core data is analyzed over 420000 years with a time resolution of 500 years. These data include the temperature variations AT (determined from the deuterium content delta D-i in the ice core) and the contents of carbon dioxide q(CO2) and methane q(CH4) in the atmosphere. Cross correlation analysis shows that, on the whole, the variations in q(CO2) and q(CH4) are lagged with respect to the delta D-i and temperature variations on time scales from millennia to several hundred thousand years. The characteristic time lag At of the variations in q(CO2) and q(CH4) relative to the variations in AT over the entire analyzed period is about 1000 and 500 years, respectively. At the same time, in individual 100 000-yr intervals, the value of At reaches 1500 years for q(CO2) and 1000 years for q(CH4). For the earliest 100000-yr interval, the temperature variations lag behind the variations in the atmospheric greenhouse gas contents. Cross-spectral analysis suggests that the variations in the carbon dioxide and methane contents are generally lagged relative to the temperature variations at periods of approximately 20 000 years or longer except for periods of about 20 000 years for methane. The cross wavelet analysis of the data derived from the Vostok Antarctic ice core over the last 420 000 years reveals that the variations in q(CO2) and q(CH4) lag behind the temperature variations, including the modes characteristic of variations in the Earth's orbital parameters (Milankovitch cycles), while opposite phase lags are observed in individual time intervals and frequency ranges. The coevolution of AT and q(CH4) is less conclusive than that of AT and q(CO2). Over the last 100 000-yr period, the fundamental 100 000-yr mode of the deuterium content and temperature does not lead that of the greenhouse gas contents. An opposite effect is observed, with the temperature variations lagged more pronouncedly relative to the methane-content variations than to the carbon dioxide content variations. For the 100 000-yr mode, the variations in q(CH4) lead those in q(CO2) during the last period.</t>
  </si>
  <si>
    <t>Russian Acad Sci, Oboukhov Inst Atmospher Phys, Moscow 119017, Russia</t>
  </si>
  <si>
    <t>Russian Academy of Sciences; Obukhov Institute of Atmospheric Physics of Russian Academy of Sciences</t>
  </si>
  <si>
    <t>Mokhov, II (corresponding author), Russian Acad Sci, Oboukhov Inst Atmospher Phys, Pyzhevskii 3, Moscow 119017, Russia.</t>
  </si>
  <si>
    <t>mokhov@ifaran.ru</t>
  </si>
  <si>
    <t>Mokhov, Igor/U-9564-2019</t>
  </si>
  <si>
    <t>0001-4338</t>
  </si>
  <si>
    <t>1555-628X</t>
  </si>
  <si>
    <t>IZV ATMOS OCEAN PHY+</t>
  </si>
  <si>
    <t>Izv. Atmos. Ocean. Phys.</t>
  </si>
  <si>
    <t>SEP-OCT</t>
  </si>
  <si>
    <t>977SD</t>
  </si>
  <si>
    <t>WOS:000232822600001</t>
  </si>
  <si>
    <t>Zaslavskii, MM; Lavrenov, IV</t>
  </si>
  <si>
    <t>Generalization of the transfer equation for the spectrum of waves in horizontally inhomogeneous situations</t>
  </si>
  <si>
    <t>LINEAR ENERGY TRANSFER; SHORT GRAVITY WAVES; SURFACE WAVES; SHEAR FLOWS; LONG WAVES; WIND; GENERATION; OSCILLATIONS; CURRENTS</t>
  </si>
  <si>
    <t>The spectral equation of wave energy is generalized to the case of inhomogeneous fields. If the terms quadratic in spatial inhomogeneity are taken into account, the transfer equation assumes a form similar to that of the quantum Schrodinger equation having periodic solutions. The generalization of the transfer equation indicates that, in wave spectra, there are spatiotemporal periodic structures, which are well known from measurements. The propagation of such perturbations has a wave character. Their dispersion relation is derived in an analytic form. It is shown that, to a first approximation, the propagation velocity of perturbations coincides with the group velocity of surface gravity waves.</t>
  </si>
  <si>
    <t>Russian Acad Sci, PP Shirshov Oceanol Inst, Moscow 117997, Russia; Arctic &amp; Antarctic Res Inst, St Petersburg 198332, Russia</t>
  </si>
  <si>
    <t>Russian Academy of Sciences; Shirshov Institute of Oceanology; Arctic &amp; Antarctic Research Institute</t>
  </si>
  <si>
    <t>Zaslavskii, MM (corresponding author), Russian Acad Sci, PP Shirshov Oceanol Inst, Nakhimovskii Pr 36, Moscow 117997, Russia.</t>
  </si>
  <si>
    <t>zaslavski@ocean.ru; lavren@aari.nw.ru</t>
  </si>
  <si>
    <t>INTERPERIODICA</t>
  </si>
  <si>
    <t>BIRMINGHAM</t>
  </si>
  <si>
    <t>PO BOX 1831, BIRMINGHAM, AL 35201-1831 USA</t>
  </si>
  <si>
    <t>WOS:000232822600007</t>
  </si>
  <si>
    <t>Pinaud, D; Weimerskirch, H</t>
  </si>
  <si>
    <t>Scale-dependent habitat use in a long-ranging central place predator</t>
  </si>
  <si>
    <t>area-restricted search; compositional analysis; first-passage time; satellite telemetry; yellow-nosed albatross</t>
  </si>
  <si>
    <t>SPATIAL-DISTRIBUTION; MARINE-ENVIRONMENT; ANTARCTIC KRILL; ALBATROSSES; SEABIRDS; PREY; EXPLOITATION; SOUTH; AVAILABILITY; CHRYSOSTOMA</t>
  </si>
  <si>
    <t>1. It is predicted that the movements of foraging animals are adjusted to the hierarchical spatial distribution of resources in the environment, and that decisions to modify movement in response to heterogeneous resource distribution are scale-dependent. Thus, controlling for spatial scales of interaction with environment is critical for a better understanding of habitat selection, which is likely to follow scale-dependent processes. 2. Here we study the scales of interactions and habitat selection in a long-ranging marine predator foraging from a central place, the yellow-nosed albatross. We use first-passage time analysis to identify the scales of interaction with environmental variables and compositional analysis to study habitat selection. 3. Of 26 birds, 22 adopted an area restricted search (ARS) at a scale of 130 +/- 85 km, and 11 of these 22 birds adopted a second, nested ARS scale at 34 +/- 20 km. Habitat use differed according to the spatial scale considered. At the oceanic basin macro-scale, birds foraged in pelagic, subtropical waters. Birds commuted to the ARS zones after a c. 1500-km trip to reach predictable turbulence zones from Agulhas return current, where primary productivity was enhanced at large scale. At a smaller, meso-scale, birds increased their search effort according to sea surface height anomalies (SSHa) and chlorophyll-a concentrations (Chl-a), indicating association with productive cyclonic eddies. 4. Among birds, differences in search pattern were noted: 11 birds concentrated their search effort directly at a small scale of 77 +/- 22 km, avoiding anticyclonic eddies. The 11 other birds showed two scales of ARS pattern: (i) first at 180 +/- 90 km with a preference for high Chl-a concentrations but unrelated to SSHa; and (ii) secondly at a nested scale at 34 +/- 20 km related exclusively to SSHa where prey patches were expected to be distributed at this scale. This second group of birds appeared to be less efficient, spending more time at sea for the same mass gain than the first group. 5. Our study is the first to demonstrate scale-dependent adjustments, with interindividual variability, in relation to environmental features for predators with a central-place constraint.</t>
  </si>
  <si>
    <t>CNRS, UPR 1934, Ctr Etud Biol Chize, F-79360 Villiers En Bois, France</t>
  </si>
  <si>
    <t>CNRS, UPR 1934, Ctr Etud Biol Chize, F-79360 Villiers En Bois, France.</t>
  </si>
  <si>
    <t>puffin@cebc.cnrs.fr</t>
  </si>
  <si>
    <t>Pinaud, David/B-6326-2008; Weimerskirch, Henri/K-7306-2019; Weimerskirch, Henri/F-5562-2013</t>
  </si>
  <si>
    <t>Pinaud, David/0000-0003-0815-9668; Weimerskirch, Henri/0000-0002-0457-586X;</t>
  </si>
  <si>
    <t>1365-2656</t>
  </si>
  <si>
    <t>10.1111/j.1365-2656.2005.00984.x</t>
  </si>
  <si>
    <t>960RY</t>
  </si>
  <si>
    <t>WOS:000231612100006</t>
  </si>
  <si>
    <t>Anderson, PS; Ladkin, RS; Renfrew, IA</t>
  </si>
  <si>
    <t>An autonomous Doppler sodar wind profiling system</t>
  </si>
  <si>
    <t>INTERNAL GRAVITY-WAVE; BOUNDARY-LAYER; SOUTH-POLE; ICE SHELF; ANTARCTICA; SUMMER; HALLEY</t>
  </si>
  <si>
    <t>An autonomous Doppler sodar wind profiling system has been designed, built, tested, and then deployed for 2 years at a remote site in Coats Land, Antarctica. The system is designed around a commercially available phased-array sodar (a Scintec flat-array sodar, FAS64) and powered from five modular power system units. Each power unit comprises two batteries, two photovoltaic solar panels, and two vertical axis wind generators, plus charging control and isolation circuitry. The sodar's main processing unit is located at the antenna, but is controlled from a manned research station 50 km distant, in real time, by a line-of-sight UHF radio link. Data from an integral automatic weather station (AWS) are also transmitted over the radio link, allowing meteorologically informed decisions on whether or not to operate the Doppler sodar. Over the 2-yr experiment dozens of sounding episodes, lasting from a few hours to a few days, were obtained. Successful soundings were obtained in temperatures down to -33 degrees C, and wind speeds up to 12 in s(-1). In general, the wind data quality was good, but the range was disappointing, probably as a result of the strongly stable atmospheric conditions that were experienced. The wind profiling system that is described has been used to obtain the first remote wintertime observations of katabatic winds over the Antarctic continent.</t>
  </si>
  <si>
    <t>British Antarctic Survey, NERC, Div Phys Sci, Cambridge CB3 0ET, England</t>
  </si>
  <si>
    <t>Anderson, PS (corresponding author), British Antarctic Survey, NERC, Div Phys Sci, High Cross,Madingley Rd, Cambridge CB3 0ET, England.</t>
  </si>
  <si>
    <t>philip.s.anderson@bas.ac.uk</t>
  </si>
  <si>
    <t>Renfrew, Ian A/E-4057-2010</t>
  </si>
  <si>
    <t>Renfrew, Ian/0000-0001-9379-8215</t>
  </si>
  <si>
    <t>10.1175/JTECH1779.1</t>
  </si>
  <si>
    <t>973XS</t>
  </si>
  <si>
    <t>WOS:000232556500001</t>
  </si>
  <si>
    <t>Siddiqui, KS; Feller, G; D'Amico, S; Gerday, C; Giaquinto, L; Cavicchioli, R</t>
  </si>
  <si>
    <t>The active site is the least stable structure in the unfolding pathway of a multidomain cold-adapted α-amylase</t>
  </si>
  <si>
    <t>JOURNAL OF BACTERIOLOGY</t>
  </si>
  <si>
    <t>PSYCHROPHILIC ENZYMES; ALTEROMONAS-HALOPLANCTIS; ADAPTATION; STABILITY; PROTEINS; ELECTROPHORESIS; INHIBITOR</t>
  </si>
  <si>
    <t>The cold-active alpha-amylase from the Antarctic bacterium Pseudoalteromonas haloplanktis (AHA) is the largest known multidomain enzyme that displays reversible thermal unfolding (around 30 degrees C) according to a two-state mechanism. Transverse urea gradient gel electrophoresis (TUG-GE) from 0 to 6.64 M was performed under various conditions of temperature (3 degrees C to 70 degrees C) and pH (7.5 to 10.4) in the absence or presence of Ca2+ and/or Tris (competitive inhibitor) to identify possible low-stability domains. Contrary to previous observations by strict thermal unfolding, two transitions were found at low temperature (12 degrees C). Within the duration of the TUG-GE, the structures undergoing the first transition showed slow interconversions between different conformations. By comparing the properties of the native enzyme and the N12R mutant, the active site was shown to be part of the least stable structure in the enzyme. The stability data supported a model of cooperative unfolding of structures forming the active site and independent unfolding of the other more stable protein domains. In light of these findings for AHA, it will be valuable to determine if active-site instability is a general feature of heat-labile enzymes from psychrophiles. Interestingly, the enzyme was also found to refold and rapidly regain activity after being heated at 70 degrees C for 1 h in 6.5 M urea. The study has identified. fundamental new properties of AHA and extended our understanding of structure/stability relationships of cold-adapted enzymes.</t>
  </si>
  <si>
    <t>Univ New S Wales, Sch Biotechnol &amp; Biomol Sci, Sydney, NSW 2052, Australia; Univ Liege, Inst Chem, Biochem Lab, B-4000 Liege, Belgium</t>
  </si>
  <si>
    <t>University of New South Wales Sydney; University of Liege</t>
  </si>
  <si>
    <t>Univ New S Wales, Sch Biotechnol &amp; Biomol Sci, Sydney, NSW 2052, Australia.</t>
  </si>
  <si>
    <t>r.cavicchioli@unsw.edu.au</t>
  </si>
  <si>
    <t>; Cavicchioli, Ricardo/D-4341-2013</t>
  </si>
  <si>
    <t>Siddiqui, Khawar/0000-0001-8574-3177; Cavicchioli, Ricardo/0000-0001-8989-6402</t>
  </si>
  <si>
    <t>0021-9193</t>
  </si>
  <si>
    <t>1098-5530</t>
  </si>
  <si>
    <t>J BACTERIOL</t>
  </si>
  <si>
    <t>J. Bacteriol.</t>
  </si>
  <si>
    <t>10.1128/JB.187.17.6197-6205.2005</t>
  </si>
  <si>
    <t>957XF</t>
  </si>
  <si>
    <t>WOS:000231406000036</t>
  </si>
  <si>
    <t>Brandt, RE; Warren, SG; Worby, AP; Grenfell, TC</t>
  </si>
  <si>
    <t>Surface albedo of the Antarctic sea ice zone</t>
  </si>
  <si>
    <t>PASSIVE MICROWAVE OBSERVATIONS; CLIMATE MODEL SENSITIVITY; OPTICAL-PROPERTIES; SPECTRAL ALBEDOS; ABSORPTION-COEFFICIENTS; SOLAR-RADIATION; SNOW; THICKNESS; PARAMETERIZATION; EVOLUTION</t>
  </si>
  <si>
    <t>In three ship-based field experiments, spectral albedos were measured at ultraviolet, visible, and near-infrared wavelengths for open water, grease ice, nilas, young grey ice, young grey-white ice, and first-year ice, both with and without snow cover. From the spectral measurements, broadband albedos are computed for clear and cloudy sky, for the total solar spectrum as well as for visible and near-infrared bands used in climate models, and for Advanced Very High Resolution Radiometer (AVHRR) solar channels. The all-wave albedos vary from 0.07 for open water to 0.87 for thick snow-covered ice under cloud. The frequency distribution of ice types and snow coverage in all seasons is available from the project on Antarctic Sea Ice Processes and Climate (ASPeCt). The ASPeCt dataset contains routine hourly visual observations of sea ice from research and supply ships of several nations using a standard protocol. Ten thousand of these observations, separated by a minimum of 6 nautical miles along voyage tracks, are used together with the measured albedos for each ice type to assign an albedo to each visual observation, resulting in ice-only albedos as a function of latitude for each of five longitudinal sectors around Antarctica, for each of the four seasons. These ice albedos are combined with 13 yr of ice concentration estimates from satellite passive microwave measurements to obtain the geographical and seasonal variation of average surface albedo. Most of the Antarctic sea ice is snow covered, even in summer, so the main determinant of area-averaged albedo is the fraction of open water within the pack.</t>
  </si>
  <si>
    <t>Univ Washington, Dept Atmospher Sci, Seattle, WA 98195 USA; Australian Antarctic Div, Hobart, Tas, Australia; Antartic Climate &amp; Ecosyst Cooperat Res Ctr, Hobart, Tas, Australia</t>
  </si>
  <si>
    <t>University of Washington; University of Washington Seattle; Australian Antarctic Division</t>
  </si>
  <si>
    <t>Brandt, RE (corresponding author), Univ Washington, Dept Atmospher Sci, Box 351640, Seattle, WA 98195 USA.</t>
  </si>
  <si>
    <t>brandt@atmos.washington.edu</t>
  </si>
  <si>
    <t>Worby, Anthony P/A-2373-2012</t>
  </si>
  <si>
    <t>SEP 1</t>
  </si>
  <si>
    <t>10.1175/JCLI3489.1</t>
  </si>
  <si>
    <t>972RJ</t>
  </si>
  <si>
    <t>WOS:000232470600012</t>
  </si>
  <si>
    <t>Palmer, LM; Deffenbaugh, M; Mensinger, AF</t>
  </si>
  <si>
    <t>Sensitivity of the anterior lateral line to natural stimuli in the oyster toadfish, Opsanus tau (Linnaeus)</t>
  </si>
  <si>
    <t>JOURNAL OF EXPERIMENTAL BIOLOGY</t>
  </si>
  <si>
    <t>lateral line; telemetry; prey; toadfish; Opsanus tau</t>
  </si>
  <si>
    <t>FREE-SWIMMING TOADFISH; OCTAVOLATERALIS EFFERENT SYSTEM; MICHIGAN MOTTLED SCULPIN; PREY CAPTURE BEHAVIOR; NEURAL TELEMETRY; FEEDING-BEHAVIOR; PLANKTONIC PREY; ANTARCTIC FISH; EXCITATION; RHEOTAXIS</t>
  </si>
  <si>
    <t>Inductive neural telemetry was used to record from microwire electrodes chronically implanted into the anterior lateral line nerve of the oyster toadfish, Opsanus tau (L.). The lateral lines of free-ranging toadfish were stimulated by the swimming movements of a prey fish (Fundulus heteroclitus), and the corresponding neural activity was quantified. Both spontaneously active and silent afferent fibers experienced an increase in neural firing as the prey approached the lateral line. Activity was evoked when the prey fish approached to within 8-12 cm of the neuromast, with increases in nerve firing rates directly correlated with diminishing distance. Thus, adult toadfish (28 cm standard length; 33 cm total length) were only able to detect mobile prey that approached within approximately 40% of their body length. Both spontaneously active and silent afferent fibers also experienced a dramatic increase in firing during predatory strikes, indicating that the fibers were not inhibited during rapid body movement. This study investigates, for the first time, the neural response of the anterior lateral line to prey stimuli in free-ranging fish.</t>
  </si>
  <si>
    <t>Univ Minnesota, Dept Biol, Duluth, MN 55812 USA; Marine Biol Lab, Woods Hole, MA 02543 USA; ExxonMobil Upstream Res Co, Houston, TX 77252 USA</t>
  </si>
  <si>
    <t>University of Minnesota System; University of Minnesota Duluth; Marine Biological Laboratory - Woods Hole; Exxon Mobil Corporation</t>
  </si>
  <si>
    <t>Univ Minnesota, Dept Biol, Duluth, MN 55812 USA.</t>
  </si>
  <si>
    <t>amensing@d.umn.edu</t>
  </si>
  <si>
    <t>Palmer, Lucy/0000-0003-3676-657X</t>
  </si>
  <si>
    <t>COMPANY BIOLOGISTS LTD</t>
  </si>
  <si>
    <t>BIDDER BUILDING, STATION RD, HISTON, CAMBRIDGE CB24 9LF, ENGLAND</t>
  </si>
  <si>
    <t>0022-0949</t>
  </si>
  <si>
    <t>1477-9145</t>
  </si>
  <si>
    <t>J EXP BIOL</t>
  </si>
  <si>
    <t>J. Exp. Biol.</t>
  </si>
  <si>
    <t>10.1242/jeb.01766</t>
  </si>
  <si>
    <t>973TZ</t>
  </si>
  <si>
    <t>WOS:000232546800007</t>
  </si>
  <si>
    <t>Lowe, CJ; Davison, W</t>
  </si>
  <si>
    <t>Plasma osmolarity, glucose concentration and erythrocyte responses of two Antarctic nototheniid fishes to acute and chronic thermal change</t>
  </si>
  <si>
    <t>blood chemistry; haematocrit; hyperglycaemia; notothenioid; plasma osmolarity; stress</t>
  </si>
  <si>
    <t>ACUTE HANDLING STRESS; RAINBOW-TROUT; CARDIOVASCULAR-RESPONSES; INTERMEDIARY METABOLISM; TREMATOMUS-BERNACCHII; GLYCOGEN-METABOLISM; IONIC REGULATION; SALMO-GAIRDNERI; ATPASE ACTIVITY; CORTISOL-LEVELS</t>
  </si>
  <si>
    <t>Haematocrit, haemoglobin concentration, plasma osmolarity and plasma glucose concentration of the Antarctic nototheniid fishes Pagothenia borchgrevinki and Trematomus bernacchii were monitored during 24 h periods of exposure to 3 and 6 degrees C. The same haematological variables were also measured in P. borchgrevinki following a 5-6 week period of 4 degrees C acclimation. The first plasma glucose measurements in acutely thermally-stressed Antarctic notothemids revealed a delayed hyperglycaemia which related well to the relatively slow stress-related elevation of plasma cortisol in these species. Plasma osmolarity of both species was unchanged by acute 3 degrees C exposure, but exhibited a delayed and transient increase during acute exposure to 6 degrees C. Haematocrit was unaltered in T. bernacchii during the acute temperature increases but was elevated in the relatively active P. borchgrevinki. Following 5-6 weeks of warm-acclimation (4 degrees C) the plasma glucose concentration, haematocrit and haemoglobin concentration of P. boreligrevinki were not significantly different from fish at -1 degrees C, but plasma osmolarity decreased toward the level found in temperate-water teleosts. (c) 2005 The Fisheries Society of the British Isles.</t>
  </si>
  <si>
    <t>Univ Canterbury, Sch Biol Sci, Christchurch, New Zealand</t>
  </si>
  <si>
    <t>Univ Canterbury, Sch Biol Sci, Private Bag 4800, Christchurch, New Zealand.</t>
  </si>
  <si>
    <t>lowec@landcareresearch.co.nz</t>
  </si>
  <si>
    <t>1095-8649</t>
  </si>
  <si>
    <t>10.1111/j.0022-1112.2005.00775.x</t>
  </si>
  <si>
    <t>964XA</t>
  </si>
  <si>
    <t>WOS:000231913100012</t>
  </si>
  <si>
    <t>Thorne, RM; O'Brien, TP; Shprits, YY; Summers, D; Horne, RB</t>
  </si>
  <si>
    <t>Timescale for MeV electron microburst loss during geomagnetic storms</t>
  </si>
  <si>
    <t>RADIATION BELT ELECTRONS; PITCH-ANGLE DIFFUSION; RELATIVISTIC ELECTRONS; ACCELERATION; CHORUS; PLASMASPHERE; ENERGIES; DRIVEN; WAVES</t>
  </si>
  <si>
    <t>Energetic electrons in the outer radiation belt can resonate with intense bursts of whistler-mode chorus emission leading to microburst precipitation into the atmosphere. The timescale for removal of outer zone MeV electrons during the main phase of the October 1998 magnetic storm has been computed by comparing the rate of microburst loss observed on SAMPEX with trapped flux levels observed on Polar. Effective lifetimes are comparable to a day and are relatively independent of L shell. The lifetimes have also been evaluated by theoretical calculations based on quasi-linear scattering by field-aligned waves. Agreement with the observations requires average wide-band wave amplitudes comparable to 100 pT, which is consistent with the intensity of chorus emissions observed under active conditions. MeV electron scattering is most efficient during first-order cyclotron resonance with chorus emissions at geomagnetic latitudes above 30 degrees. Consequently, the zone of MeV microbursts tends to maximize in the prenoon (0400-1200 MLT) sector, since nightside chorus is more strongly confined to the equator.</t>
  </si>
  <si>
    <t>Univ Calif Los Angeles, Dept Atmospher &amp; Ocean Sci, Los Angeles, CA 90095 USA; Aerosp Corp, Dept Space Sci, Los Angeles, CA 90009 USA; Mem Univ Newfoundland, Dept Math &amp; Stat, St John, NF A1C 5S7, Canada; British Antarctic Survey, NERC, Cambridge CB3 0ET, England</t>
  </si>
  <si>
    <t>University of California System; University of California Los Angeles; Aerospace Corporation - USA; Memorial University Newfoundland; UK Research &amp; Innovation (UKRI); Natural Environment Research Council (NERC); NERC British Antarctic Survey</t>
  </si>
  <si>
    <t>Univ Calif Los Angeles, Dept Atmospher &amp; Ocean Sci, 405 Hilgard Ave, Los Angeles, CA 90095 USA.</t>
  </si>
  <si>
    <t>r.horne@bas.ac.uk; paul.obrien@aero.org; yshprits@atmos.ucla.edu; dsummers@math.mun.ca; rmt@atmos.ucla.edu</t>
  </si>
  <si>
    <t>Horne, Richard B/U-3764-2019; Shprits, Yuri Y/I-2174-2014</t>
  </si>
  <si>
    <t>Horne, Richard B/0000-0002-0412-6407; Shprits, Yuri/0000-0002-9625-0834</t>
  </si>
  <si>
    <t>A09202</t>
  </si>
  <si>
    <t>10.1029/2004JA010882</t>
  </si>
  <si>
    <t>962KC</t>
  </si>
  <si>
    <t>WOS:000231729300002</t>
  </si>
  <si>
    <t>Korb, RE; Whitehouse, MJ; Thorpe, SE; Gordon, M</t>
  </si>
  <si>
    <t>Primary production across the Scotia Sea in relation to the physico-chemical environment</t>
  </si>
  <si>
    <t>JOURNAL OF MARINE SYSTEMS</t>
  </si>
  <si>
    <t>Scotia Sea; primary production; chlorophyll-a; MIZ; physical oceanography; nutrients</t>
  </si>
  <si>
    <t>ANTARCTIC CIRCUMPOLAR CURRENT; SOUTHERN-OCEAN PRODUCTIVITY; RELEASE EXPERIMENT SOIREE; NORTHWESTERN WEDDELL SEA; MARGINAL ICE-ZONE; CHLOROPHYLL-A; POLAR FRONT; PHYTOPLANKTON BIOMASS; ATLANTIC SECTOR; AUSTRAL SUMMER</t>
  </si>
  <si>
    <t>During the austral summer of 2003, a large scale survey of the Scotia Sea was undertaken by the British Antarctic Survey as part of the Southern Ocean Global Ocean Ecosystems Dynamics programme. This cruise provided a unique opportunity to examine the distribution of phytoplankton biomass and primary production in relation to the physico-chemical environment of the Scotia Sea. Phytoplankton were sampled from a range of oceanographic regimes including the open ocean, in the wake of oceanic islands, across major fronts such as the Southern Antarctic Circumpolar Current Front, submarine topographical features such as the South Scotia Ridge and the marginal ice zone. Generally the Scotia Sea was characterised by low biomass (&lt;30 mg chlorophyll-a m(-2)), low production rates (&lt;0.31 g C m(-2) d(-1)) and an abundance of macronutrients (e.g., surface nitrate &gt;28 mmol m(-3)) despite favourable environmental conditions for growth caused by shallow mixed layers and deep euphotic depths. Three areas of elevated biomass (77-295 mg chlorophyll-a m(-2)) and production (0.73-2.04 g C m(-2) d(-1)) as well as substantial macronutrient depletion (e.g., surface nitrate similar to 12 mmol m(-3)) were observed during the cruise: to the northwest of the island of South Georgia, to the southwest of South Georgia and further south over the South Scotia Ridge in a region of rapid ice retreat. These productive regions were also characterised by shallow mixed layer depths, although near to South Georgia euphotic depths were reduced due to the high biomass of phytoplankton in the water column. The biomass was composed of over 80% diatoms. We speculate that the contrasting production regimes observed during the cruise were the result of differences in iron availability. Throughout much of the survey area, the eastward flowing Antarctic Circumpolar Current is unlikely to have encountered any shallow bathymettic features that may introduce sedimentary iron into the euphotic zone. However, shallow topographic features, may cause upwelling of iron into the euphotic zone. This, together with shallow mixed layers and a favourable light environment, may then account for the dense blooms observed near topographic features during our cruise. (c) 2005 Elsevier B.V. All rights reserved.</t>
  </si>
  <si>
    <t>Korb, RE (corresponding author), British Antarctic Survey, NERC, High Cross,Madingley Rd, Cambridge CB3 0ET, England.</t>
  </si>
  <si>
    <t>rk@bas.ac.uk</t>
  </si>
  <si>
    <t>Thorpe, Sally/0000-0002-5193-6955</t>
  </si>
  <si>
    <t>0924-7963</t>
  </si>
  <si>
    <t>1879-1573</t>
  </si>
  <si>
    <t>J MARINE SYST</t>
  </si>
  <si>
    <t>J. Mar. Syst.</t>
  </si>
  <si>
    <t>10.1016/j.jmarsys.2005.04.009</t>
  </si>
  <si>
    <t>Geosciences, Multidisciplinary; Marine &amp; Freshwater Biology; Oceanography</t>
  </si>
  <si>
    <t>Geology; Marine &amp; Freshwater Biology; Oceanography</t>
  </si>
  <si>
    <t>977FN</t>
  </si>
  <si>
    <t>WOS:000232788200003</t>
  </si>
  <si>
    <t>Åkesson, S; Welmerskirch, H</t>
  </si>
  <si>
    <t>Albatross long-distance navigation:: Comparing adults and juveniles</t>
  </si>
  <si>
    <t>JOURNAL OF NAVIGATION</t>
  </si>
  <si>
    <t>5th Quadrennial Conference on Orientation and Navigation in Birds Humans and Other Animals</t>
  </si>
  <si>
    <t>APR 06-08, 2005</t>
  </si>
  <si>
    <t>Univ Reading, Reading, ENGLAND</t>
  </si>
  <si>
    <t>Univ Reading</t>
  </si>
  <si>
    <t>migration; wandering albatrosses; diomedea exulans; bird navigation</t>
  </si>
  <si>
    <t>SEA-TURTLES; ANTARCTIC SEABIRDS; ODOR RECOGNITION; SHEARWATERS; DISPERSAL; EVOLUTION; MIGRATION; STRATEGY; PETRELS; ABILITY</t>
  </si>
  <si>
    <t>Albatrosses are known for their extreme navigation performance enabling them to locate isolated breeding islands after long-distance migrations across open seas. Little is known about the migration of young albatrosses and how they reach the adults' navigation and foraging skills during the period of immaturity lasting several years and spent permanently flying across the open ocean. We tracked by satellite telemetry the dispersal and migration of 13 juvenile wandering albatrosses from the Crozet Islands during their first year at sea. The young albatrosses covered an average distance of 184,000 km during the first year, restricting their dispersal movement to the unproductive and low wind subtropical Indian Ocean and Tasman Sea. The juveniles initiated the migration by an innate phase of rapid dispersal encoded as a fixed flight direction assisted by southerly winds towards north and northeast. Thereafter each individual restricted its movement to a particular zone of the ocean that will possibly be used until they start breeding 7-10 years later and return in contact with breeding adults. This dispersal in young birds corresponds well with movements observed for adult non-breeding wandering albatrosses. The results show clearly an inherited ability to navigate back to already visited areas in young wandering albatrosses. The juvenile dispersal behaviour and migration at sea suggest a genetically based migration program, encoding navigation to a destination area used throughout the life.</t>
  </si>
  <si>
    <t>Dept Anim Ecol, Lund, Sweden; Ctr Etudes Biol Chize, Villiers En Bois, France</t>
  </si>
  <si>
    <t>Dept Anim Ecol, Lund, Sweden.</t>
  </si>
  <si>
    <t>susanne.akesson@zooekol.lu.se</t>
  </si>
  <si>
    <t>Åkesson, Susanne/F-3175-2015</t>
  </si>
  <si>
    <t>Åkesson, Susanne/0000-0001-9039-2180</t>
  </si>
  <si>
    <t>0373-4633</t>
  </si>
  <si>
    <t>1469-7785</t>
  </si>
  <si>
    <t>J NAVIGATION</t>
  </si>
  <si>
    <t>J. Navig.</t>
  </si>
  <si>
    <t>10.1017/S0373463305003401</t>
  </si>
  <si>
    <t>Engineering, Marine; Oceanography</t>
  </si>
  <si>
    <t>971CA</t>
  </si>
  <si>
    <t>WOS:000232357500003</t>
  </si>
  <si>
    <t>Sun, C</t>
  </si>
  <si>
    <t>Equivalent-barotropic definition of tropospheric mean temperature</t>
  </si>
  <si>
    <t>JOURNAL OF THE ATMOSPHERIC SCIENCES</t>
  </si>
  <si>
    <t>ANTARCTIC CIRCUMPOLAR CURRENT; GRAVEST EMPIRICAL MODE; DISTURBANCES</t>
  </si>
  <si>
    <t>An equivalent-barotropic (EB) description of the tropospheric temperature field is derived from the geostrophic empirical mode (GEM) in the form of a scalar function Gamma(p, phi), where p is pressure and phi is 300-850-mb thickness. Baroclinic parameter phi plays the role of latitude at each longitudinal section. Compared with traditional Eulerian-mean methods, GEM defines a mean field in baroclinic streamfunction space with a time scale much longer than synoptic variability. It prompts an EB concept that is only based on a baroclinic field. Monthly GEM fields are diagnosed from NCEP-NCAR reanalysis data and account for more than 90% of the tropospheric thermal variance. The circumglobal composite of GEM fields exhibits seasonal, zonal, and hemispheric asymmetries, with larger rms errors occurring in winter and in the Northern Hemisphere (NH). Zonally asymmetric features and planetary deviation from EB are seen in the NH winter GEM. Reconstruction of synoptic sections and correlation analysis reveal that the tropospheric temperature field is EB at the leading order and has a 1-day phase lag behind barotropic variations in extratropical regions.</t>
  </si>
  <si>
    <t>Chinese Acad Sci, Inst Oceanol, Qingdao, Peoples R China</t>
  </si>
  <si>
    <t>Chinese Academy of Sciences; Institute of Oceanology, CAS</t>
  </si>
  <si>
    <t>Sun, C (corresponding author), Chinese Acad Sci, Inst Oceanol, 7 Nanhai Rd, Qingdao, Peoples R China.</t>
  </si>
  <si>
    <t>csun@ms.qdio.ac.cn</t>
  </si>
  <si>
    <t>Sun, Che/0000-0002-4223-293X</t>
  </si>
  <si>
    <t>0022-4928</t>
  </si>
  <si>
    <t>1520-0469</t>
  </si>
  <si>
    <t>J ATMOS SCI</t>
  </si>
  <si>
    <t>J. Atmos. Sci.</t>
  </si>
  <si>
    <t>10.1175/JAS3546.1</t>
  </si>
  <si>
    <t>969ZP</t>
  </si>
  <si>
    <t>WOS:000232275300010</t>
  </si>
  <si>
    <t>Hunter, MA; Cantrill, DJ; Flowerdew, MJ; Millar, IL</t>
  </si>
  <si>
    <t>Mid-Jurassic age for the Botany Bay Group: implications for Weddell Sea Basin creation and southern hemisphere biostratigraphy</t>
  </si>
  <si>
    <t>Antarctica; Middle Jurassic; Gondwana; biostratigraphy; absolute age</t>
  </si>
  <si>
    <t>U-TH-PB; ANTARCTIC PENINSULA; SILICIC VOLCANISM; ION-MICROPROBE; BREAK-UP; ZIRCON; PATAGONIA; EVOLUTION; GONDWANA; COMPLEX</t>
  </si>
  <si>
    <t>New U-Pb zircon ion-microprobe ages from the alluvial conglomerates and flood plain sediments of the Botany Bay Group demonstrate that sedimentation occurred at c. 167 Ma, coeval with rift-related silicic volcanism in the northern Antarctic Peninsula. In contrast, rift-related volcanism and sedimentation in the southern Antarctic Peninsula (Latady Basin) occurred at c. 183 Ma. The new data indicate that syn-rift sedimentation and volcanism was diachronous from south to north, consistent with early opening of the Weddell Sea embayment by anti-clockwise rotation of the Antarctic Peninsula in the Mid-Jurassic. A definitive date for the Botany Bay Group floras has important implications for Southern Hemisphere biostratigraphic correlations.</t>
  </si>
  <si>
    <t>British Antarctic Survey, Cambridge CB3 0ET, England; Swedish Museum Nat Hist, Dept Palaeobot, S-10405 Stockholm, Sweden; NERC, Isotope Geosci Lab, Nottingham NG12 5GG, England</t>
  </si>
  <si>
    <t>UK Research &amp; Innovation (UKRI); Natural Environment Research Council (NERC); NERC British Antarctic Survey; Swedish Museum of Natural History; UK Research &amp; Innovation (UKRI); Natural Environment Research Council (NERC); NERC British Geological Survey</t>
  </si>
  <si>
    <t>mahu@bas.ac.uk</t>
  </si>
  <si>
    <t>Cantrill, David/R-1415-2019; Millar, Ian L/F-1541-2010</t>
  </si>
  <si>
    <t>Cantrill, David/0000-0002-1185-4015; Flowerdew, Michael/0000-0002-9710-2593</t>
  </si>
  <si>
    <t>10.1144/0016-764905-051</t>
  </si>
  <si>
    <t>963OQ</t>
  </si>
  <si>
    <t>WOS:000231814000003</t>
  </si>
  <si>
    <t>Squire, RJ; Wilson, CJL</t>
  </si>
  <si>
    <t>Interaction between collisional orogenesis and convergent-margin processes: evolution of the Cambrian proto-Pacific margin of East Gondwana</t>
  </si>
  <si>
    <t>Gondwana; Cambrian; Stawell; Australia; tectonics; orogenesis</t>
  </si>
  <si>
    <t>LACHLAN FOLD BELT; CENTRAL TRANSANTARCTIC MOUNTAINS; NORTHERN VICTORIA LAND; TECTONIC EVOLUTION; ROSS OROGEN; NEW-ZEALAND; SHACKLETON LIMESTONE; PENSACOLA MOUNTAINS; DELAMERIAN OROGENY; ANTARCTIC MARGIN</t>
  </si>
  <si>
    <t>Difficulties in correlating the Cambrian magmatic, depositional, structural and metamorphic events along the proto-Pacific margin of East Gondwana have led to subdivision of the region into the Delamerian, Lachlan and Tyennan Orogens in Australia, the Ross Orogen in Antarctica and the Takaka Terrane in New Zealand. As a result, the Cambrian tectonic evolution of the region is poorly understood. We present here a revised lithostratigraphic section from the late Early to Mid-Cambrian rocks exposed near Stawell in western Victoria, which is used as the basis for correlating geological events in East Gondwana. These data show that the Cambrian tectonic evolution of East Gondwana's &gt; 4000 km long proto-Pacific margin involved predominantly compressional orogenesis separated by major short-lived extensional events at c. 516-514 and 504-500 Ma. The most significant extensional event, at c. 516-514 Ma, involved extensive slab rollback along the proto-Pacific margin in response to major changes in global plate motions and plate-boundary stresses following the termination of East-West Gondwana collision. Partial subduction of a ribbon of buoyant continental crust led to localized subduction-zone failure and obduction of the young hot forearc lithosphere in Tasmania at c. 5 10 Ma. Collision of the continental ribbon also significantly modified the architecture of the proto-Pacific margin and ultimately controlled the extent of the second major extensional event associated with slab rollback at c. 504-500 Ma. Tectonic evolution of the proto-Pacific margin of East Gondwana thus involved the complex interaction between convergent-margin processes and collisional orogenesis.</t>
  </si>
  <si>
    <t>Univ Melbourne, Sch Earth Sci, Melbourne, Vic 3010, Australia</t>
  </si>
  <si>
    <t>University of Melbourne; Melbourne Bioinformatics</t>
  </si>
  <si>
    <t>Monash Univ, Sch Geosci, Clayton, Vic 3800, Australia.</t>
  </si>
  <si>
    <t>Rick.Squire@sci.monash.edu.au</t>
  </si>
  <si>
    <t>Squire, Richard/ABB-5605-2021</t>
  </si>
  <si>
    <t>10.1144/0016-764904-087</t>
  </si>
  <si>
    <t>WOS:000231814000004</t>
  </si>
  <si>
    <t>Irving, AD; Connell, SD; Johnston, EL; Pile, AJ; Gillanders, BM</t>
  </si>
  <si>
    <t>The response of encrusting coralline algae to canopy loss: an independent test of predictions on an Antarctic coast</t>
  </si>
  <si>
    <t>KELP COMMUNITY; DOMINATED COMMUNITIES; NUTRIENT ENRICHMENT; PALMARIA-DECIPIENS; MARINE HABITATS; SEA-ICE; COVER; LIGHT; MACROALGAE; ECOLOGY</t>
  </si>
  <si>
    <t>We assessed whether published observations of the ecology of encrusting coralline algae (Rhodophyta) from tropical and temperate coasts could be used to predict patterns and responses on a polar coast where such knowledge does not exist. On subtidal rocky coasts near Casey, East Antarctica, we detected a strong positive association of understorey encrusting coralline algae with canopies formed by the endemic alga Himantothallus grandifolius. The experimental removal of H. grandifolius caused corallines to bleach from red to pink/ white concomitant with a decline in their photosynthetic activity. The magnitude of this decline (mean SE = 56.85 8.43%) was remarkably similar to that observed on temperate coasts (45.98 +/- 5.91%). Positive effects of nutrient enrichment of the surrounding water, hypothesized to alleviate the negative effects of canopy loss on encrusting corallines, were not detected. Removing H. grandifolius increased the intensity of photosynthetically active radiation and ultra-violet radiation reaching the substratum by three orders of magnitude, providing the basis for models invoking enhanced irradiance as the primary cause of the negative effects of canopy loss. Striking similarities among our results and those from tropical and temperate coasts suggest that responses of encrusting corallines to loss of canopies may have predictive properties across large distances and environmental gradients (tropical-temperate-polar).</t>
  </si>
  <si>
    <t>Univ Adelaide, Sch Earth &amp; Environm Sci, So Seas Ecol Labs, Adelaide, SA 5005, Australia; Univ New S Wales, Sch Biol Earth &amp; Environm Sci, Sydney, NSW 2052, Australia; Univ Sydney, Sch Biol Sci A08, Sydney, NSW 2006, Australia</t>
  </si>
  <si>
    <t>University of Adelaide; University of New South Wales Sydney; University of Sydney</t>
  </si>
  <si>
    <t>Irving, AD (corresponding author), Univ Adelaide, Sch Earth &amp; Environm Sci, So Seas Ecol Labs, DP 418, Adelaide, SA 5005, Australia.</t>
  </si>
  <si>
    <t>andrew.irving@adelaide.edu.au</t>
  </si>
  <si>
    <t>Connell, Sean D/A-8874-2008; Johnston, Emma/AAC-2878-2022; Gillanders, Bronwyn/B-4218-2013</t>
  </si>
  <si>
    <t>Connell, Sean D/0000-0002-5350-6852; Johnston, Emma/0000-0002-2117-366X; Irving, Andrew/0000-0002-9763-2148; Gillanders, Bronwyn/0000-0002-7680-2240</t>
  </si>
  <si>
    <t>10.1007/s00227-005-0007-4</t>
  </si>
  <si>
    <t>970SJ</t>
  </si>
  <si>
    <t>WOS:000232329600003</t>
  </si>
  <si>
    <t>Mitova, M; Tutino, ML; Infusini, G; Marino, G; De Rosa, S</t>
  </si>
  <si>
    <t>Exocellular peptides from antarctic psychrophile Pseudoalteromonas haloplanktis</t>
  </si>
  <si>
    <t>MARINE BIOTECHNOLOGY</t>
  </si>
  <si>
    <t>marine bacteria; cyclodipeptides; peptides; Pseudoalteromonas haloplanktis</t>
  </si>
  <si>
    <t>CYCLIC DIPEPTIDES; CHEMICAL-CHARACTERIZATION; MAGNETIC-RESONANCE; MARINE-BACTERIA; RUEGERIA STRAIN; AMINO-ACIDS; CROSS-TALK; SPONGE; DIKETOPIPERAZINES; METABOLITES</t>
  </si>
  <si>
    <t>A novel diketopiperazine, named cyclo-D-pipecolinyl-L-isoleucine) (DKP 1), and 7 known diketopiperazines were isolated from the cell-free culture supernatant of the Antarctic psychrophilic bacterium Pseudoalteromonas haloplanktis TAC125. Two diketopiperazines containing pipecolinyl moiety were isolated for the first time from a natural source. Two new linear peptides, stable to bacterial proteolytic enzymes, were also characterized. The structures of the isolated compounds were elucidated by means of spectroscopic data (1D-, 2D-NMR, EIMS, FABMS, and ESIMS/MS) and chiral high-performance liquid chromatography. The potential antioxidant activity of the isolated compounds was evaluated by a DPPH free radical scavenging assay.</t>
  </si>
  <si>
    <t>CNR, Ist Chim Biomol, I-80078 Naples, Italy; BAN, Ctr Phytochem, Inst Organ Chem, Sofia 1113, Bulgaria; Univ Naples Federico II, Dipartimento Chim Organ &amp; Biochim, I-80126 Naples, Italy</t>
  </si>
  <si>
    <t>Consiglio Nazionale delle Ricerche (CNR); Istituto di Chimica Biomolecolare (ICB-CNR); Bulgarian Academy of Sciences; University of Naples Federico II</t>
  </si>
  <si>
    <t>CNR, Ist Chim Biomol, Via Campi Flegrei 34, I-80078 Naples, Italy.</t>
  </si>
  <si>
    <t>sderosa@icmib.na.cnr.it</t>
  </si>
  <si>
    <t>TUTINO, MARIA LUISA/L-1834-2013</t>
  </si>
  <si>
    <t>Mitova, Maya I./0000-0001-8626-4362; Tutino, Maria Luisa/0000-0002-4978-6839</t>
  </si>
  <si>
    <t>1436-2228</t>
  </si>
  <si>
    <t>1436-2236</t>
  </si>
  <si>
    <t>MAR BIOTECHNOL</t>
  </si>
  <si>
    <t>Mar. Biotechnol.</t>
  </si>
  <si>
    <t>10.1007/s10126-004-5098-2</t>
  </si>
  <si>
    <t>Biotechnology &amp; Applied Microbiology; Marine &amp; Freshwater Biology</t>
  </si>
  <si>
    <t>978IF</t>
  </si>
  <si>
    <t>WOS:000232866100012</t>
  </si>
  <si>
    <t>Foster, E; Haward, M; Coffen-Smout, S</t>
  </si>
  <si>
    <t>Implementing integrated oceans management: Australia's south east regional marine plan (SERMP) and Canada's eastern Scotian shelf integrated management (ESSIM) initiative</t>
  </si>
  <si>
    <t>MARINE POLICY</t>
  </si>
  <si>
    <t>integrated oceans management; regional planning; oceans policy; oceans act</t>
  </si>
  <si>
    <t>Integrated oceans management (IOM) is emerging in the international arena as a tool in meeting requirements for sustainable use of ocean space and marine resources. Australia and Canada are at the forefront of these developments and, being without set precedents, each state has adopted quite different strategies to implement IOM-Australia adopting a policy-driven approach delivered through Regional Marine Plans and Canada developing legislation that provided a framework for policy implementation delivered through an Integrated Management Framework. Despite these significant differences, examination of initiatives in both states indicates that there are also significant commonalities and shared experiences, providing important lessons for implementing IOM. (c) 2004 Elsevier Ltd. All rights reserved.</t>
  </si>
  <si>
    <t>Univ Tasmania, Inst Antarctic &amp; So Ocean Studies, Hobart, Tas 7001, Australia; Univ Tasmania, Sch Govt, Hobart, Tas 7001, Australia; Univ Tasmania, Antarctic Climate &amp; Ecosyst Cooperat Res Ctr, Hobart, Tas 7001, Australia; Bedford Inst Oceanog, Oceans &amp; Coastal Management Div, Habitat &amp; Environm Branch, Fisheries &amp; Oceans Canada Maritimes Reg, Dartmouth, NS B2Y 4A2, Canada</t>
  </si>
  <si>
    <t>University of Tasmania; University of Tasmania; Antarctic Climate &amp; Ecosystems Cooperative Research Centre (ACE CRC); University of Tasmania; Bedford Institute of Oceanography; Fisheries &amp; Oceans Canada</t>
  </si>
  <si>
    <t>Foster, E (corresponding author), Univ Tasmania, Inst Antarctic &amp; So Ocean Studies, Private Bag 77, Hobart, Tas 7001, Australia.</t>
  </si>
  <si>
    <t>efoster@postoffice.antcrc.utas.edu.au</t>
  </si>
  <si>
    <t>Haward, Marcus/G-3369-2014</t>
  </si>
  <si>
    <t>Haward, Marcus/0000-0003-4775-0864</t>
  </si>
  <si>
    <t>0308-597X</t>
  </si>
  <si>
    <t>MAR POLICY</t>
  </si>
  <si>
    <t>Mar. Pol.</t>
  </si>
  <si>
    <t>10.1016/j.marpol.2004.06.007</t>
  </si>
  <si>
    <t>Environmental Studies; International Relations</t>
  </si>
  <si>
    <t>Environmental Sciences &amp; Ecology; International Relations</t>
  </si>
  <si>
    <t>939AG</t>
  </si>
  <si>
    <t>WOS:000230043900002</t>
  </si>
  <si>
    <t>Arai, T; Shimoda, H; Kita, N; Morishita, Y; Kojima, H</t>
  </si>
  <si>
    <t>Source magma compositions for basalt clasts of lunar meteorite EET 87521 in connection to KREEP</t>
  </si>
  <si>
    <t>68th Annual Meeting of the Meteoritical-Society</t>
  </si>
  <si>
    <t>SEP 12-16, 2005</t>
  </si>
  <si>
    <t>Gatlinburg, TN</t>
  </si>
  <si>
    <t>Antarctic Meteorite Res Ctr, Natl Inst Polar Res, Tokyo 1738515, Japan; Geol Survey Japan, AIST, Tsukuba, Ibaraki 3058567, Japan; Univ Wisconsin, Dept Geol &amp; Geophys, Madison, WI 53706 USA</t>
  </si>
  <si>
    <t>Research Organization of Information &amp; Systems (ROIS); National Institute of Polar Research (NIPR) - Japan; National Institute of Advanced Industrial Science &amp; Technology (AIST); University of Wisconsin System; University of Wisconsin Madison</t>
  </si>
  <si>
    <t>tomoko@nipr.ac.jp</t>
  </si>
  <si>
    <t>1945-5100</t>
  </si>
  <si>
    <t>A17</t>
  </si>
  <si>
    <t>006BV</t>
  </si>
  <si>
    <t>WOS:000234871000014</t>
  </si>
  <si>
    <t>Bonal, L; Bourot-Denise, M; Montagnac, G; Quirico, E</t>
  </si>
  <si>
    <t>Metamorphic grade of Antarctic meteorites</t>
  </si>
  <si>
    <t>Univ Grenoble 1, Lab Planetol Grenoble, Grenoble 9, France; Museum Natl Hist Nat, Lyon, France; ENS, Lab Sci Terre, Lyon, France</t>
  </si>
  <si>
    <t>Communaute Universite Grenoble Alpes; Universite Grenoble Alpes (UGA); Museum National d'Histoire Naturelle (MNHN); Ecole Normale Superieure de Lyon (ENS de LYON)</t>
  </si>
  <si>
    <t>lydie.bonal@obs.ujf-grenoble.fr</t>
  </si>
  <si>
    <t>Montagnac, Gilles/S-6440-2019</t>
  </si>
  <si>
    <t>Montagnac, Gilles/0000-0001-9938-0282</t>
  </si>
  <si>
    <t>A23</t>
  </si>
  <si>
    <t>WOS:000234871000026</t>
  </si>
  <si>
    <t>Fries, M; Cody, G; Fogel, M; Harvey, R; Jull, AJT; Nittler, L; Rost, D; Steele, A; Toporski, J; Vicenzi, E; Wainwright, N</t>
  </si>
  <si>
    <t>Contamination in meteorites stored since 1977-Preliminary results of Antarctic Meteorite Contamination Study (AMCS)</t>
  </si>
  <si>
    <t>Carnegie Inst Washington, Washington, DC 20015 USA; Case Western Reserve Univ, Cleveland, OH 44106 USA; Univ Arizona, Tucson, AZ 85721 USA; Smithsonian Inst, Natl Museum Nat Hist, Washington, DC 20560 USA; Univ Kiel, Kiel, Germany; Marine Biol Lab, Woods Hole, MA 02543 USA</t>
  </si>
  <si>
    <t>Carnegie Institution for Science; University System of Ohio; Case Western Reserve University; University of Arizona; Smithsonian Institution; Smithsonian National Museum of Natural History; University of Kiel; Marine Biological Laboratory - Woods Hole</t>
  </si>
  <si>
    <t>m.fries@gl.ciw.edu</t>
  </si>
  <si>
    <t>Vicenzi, Edward P/T-9430-2017; Fogel, Marilyn L/M-2395-2015; Steele, Andrew/A-3573-2013</t>
  </si>
  <si>
    <t>Vicenzi, Edward P/0000-0003-2085-6546; Steele, Andrew/0000-0001-9643-2841</t>
  </si>
  <si>
    <t>A51</t>
  </si>
  <si>
    <t>WOS:000234871000083</t>
  </si>
  <si>
    <t>Huwig, KA; Harvey, RP</t>
  </si>
  <si>
    <t>Geochemical, textural, and mineralogical analysis of two fgMMs from Antarctic aeolian traps</t>
  </si>
  <si>
    <t>COSMIC DUST; BLUE ICE; MICROMETEORITES; COLLECTION</t>
  </si>
  <si>
    <t>Case Western Reserve Univ, Dept Geol Sci, Cleveland, OH 44106 USA</t>
  </si>
  <si>
    <t>University System of Ohio; Case Western Reserve University</t>
  </si>
  <si>
    <t>huwig@case.edu</t>
  </si>
  <si>
    <t>A70</t>
  </si>
  <si>
    <t>WOS:000234871000121</t>
  </si>
  <si>
    <t>Kennedy, JD; Harvey, RP</t>
  </si>
  <si>
    <t>Geochemistry, mineralogy, and weathering of the Antarctic Ferrar Dolerite with implications for Martian meteorites and surface processes</t>
  </si>
  <si>
    <t>jdk40@case.edu</t>
  </si>
  <si>
    <t>Kennedy, John D/L-1416-2015</t>
  </si>
  <si>
    <t>Kennedy, John D/0000-0002-1480-1939</t>
  </si>
  <si>
    <t>A80</t>
  </si>
  <si>
    <t>WOS:000234871000140</t>
  </si>
  <si>
    <t>Velbel, MA</t>
  </si>
  <si>
    <t>Weathering forms of Antarctic stony meteorite. finds: Terrestrial weathering brings out subtle textures in eucrites and howardites</t>
  </si>
  <si>
    <t>Michigan State Univ, Dept Geol Sci, E Lansing, MI 48824 USA</t>
  </si>
  <si>
    <t>velbel@msu.edu</t>
  </si>
  <si>
    <t>A161</t>
  </si>
  <si>
    <t>WOS:000234871000302</t>
  </si>
  <si>
    <t>Velbel, MA; Tonui, EK; Zolensky, ME</t>
  </si>
  <si>
    <t>Aqueous alteration in QUE 93005 (CM2): Diiferent alteration scales for Antarctic and non-Antarctic CM chondrites?</t>
  </si>
  <si>
    <t>CARBONACEOUS CHONDRITES</t>
  </si>
  <si>
    <t>Michigan State Univ, Dept Geol Sci, E Lansing, MI 48824 USA; Univ Calif Los Angeles, Dept Earth &amp; Space Sci, Los Angeles, CA 90024 USA; NASA, Lyndon B Johnson Space Ctr, Astromat Res &amp; Explorat Sci Off, Houston, TX 77058 USA</t>
  </si>
  <si>
    <t>Michigan State University; University of California System; University of California Los Angeles; National Aeronautics &amp; Space Administration (NASA); NASA Johnson Space Center</t>
  </si>
  <si>
    <t>WOS:000234871000303</t>
  </si>
  <si>
    <t>Welten, KC; DiBiase, R; Nishiizumi, K; Caffee, MW</t>
  </si>
  <si>
    <t>Terrestrial age survey of Antarctic meteorites</t>
  </si>
  <si>
    <t>Univ Calif Berkeley, Space Sci Lab, Berkeley, CA 94720 USA; Purdue Univ, Dept Phys, W Lafayette, IN 47907 USA</t>
  </si>
  <si>
    <t>University of California System; University of California Berkeley; Purdue University System; Purdue University</t>
  </si>
  <si>
    <t>kewelten@berkeley.edu</t>
  </si>
  <si>
    <t>Folco, Luigi/AAB-8586-2021; Folco, Luigi/AAA-6351-2020</t>
  </si>
  <si>
    <t>A168</t>
  </si>
  <si>
    <t>WOS:000234871000316</t>
  </si>
  <si>
    <t>Floyd, RM; Rogers, AD; Lambshead, PJD; Smith, CR</t>
  </si>
  <si>
    <t>Nematode-specific PCR primers for the 18S small subunit rRNA gene</t>
  </si>
  <si>
    <t>nematodes; 185 ribosomal RNA (SSU); specific amplification; DNA barcoding</t>
  </si>
  <si>
    <t>A set of polymerase chain reaction primers were designed, which amplify a c.1 kb fragment of the 18S ribosomal DNA gene, and are specific to the phylum Nematoda. These have proven useful in isolating nematode genes from samples mixed with other biological material, particularly with application to DNA barcoding. Optimal reaction conditions are described. These primers have successfully amplified the correct fragment from a wide phylogenetic range of nematodes, and have so far generated no sequences from any other organismal group.</t>
  </si>
  <si>
    <t>British Antarctic Survey, NERC, Cambridge CB3 0ET, England; Nat Hist Museum, Dept Zool, London SW7 5BD, England; Univ Hawaii Manoa, Dept Oceanog, Honolulu, HI 96822 USA</t>
  </si>
  <si>
    <t>UK Research &amp; Innovation (UKRI); Natural Environment Research Council (NERC); NERC British Antarctic Survey; Natural History Museum London; University of Hawaii System; University of Hawaii Manoa</t>
  </si>
  <si>
    <t>rmfl@bas.ac.uk</t>
  </si>
  <si>
    <t>赵, 鹏/B-8401-2009; Lambshead, PJD/AAC-6757-2021</t>
  </si>
  <si>
    <t>Rogers, Alex David/0000-0002-4864-2980</t>
  </si>
  <si>
    <t>10.1111/j.1471-8286.2005.01009.x</t>
  </si>
  <si>
    <t>959PF</t>
  </si>
  <si>
    <t>WOS:000231529400049</t>
  </si>
  <si>
    <t>Rothschild, BM; Martin, LD</t>
  </si>
  <si>
    <t>Mosasaur ascending: the phylogeny of bends</t>
  </si>
  <si>
    <t>NETHERLANDS JOURNAL OF GEOSCIENCES-GEOLOGIE EN MIJNBOUW</t>
  </si>
  <si>
    <t>1st Mosasaur Meeting 2004</t>
  </si>
  <si>
    <t>MAY 08-13, 2004</t>
  </si>
  <si>
    <t>Natuurhist Museum Maastricht, Maastricht, NETHERLANDS</t>
  </si>
  <si>
    <t>Natuurhist Museum Maastricht</t>
  </si>
  <si>
    <t>mosasaurs; Platecarpus; shark; Tylosaurus; avascular necrosis; bends</t>
  </si>
  <si>
    <t>DEEP</t>
  </si>
  <si>
    <t>Recognition of decompression syndrome-related pathology (in the form of avascular necrosis) reveals diving behaviour in mosasaurs. Macroscopic and radiologic examination was performed to identify linear bone death characteristic of avascular necrosis in vertebrae from the major North American and European collections. This survey of mosasaurs extends throughout most of their geographic and stratigraphic range and includes examples across their diversity. Avascular necrosis was invariably present in Platecarpus coryphaeus and P. ictericus, Tylosaurus proriger, Mosasaurus lemonnieri and M. conodon, Plioplatecarpus houzeaui and Pl. primaevus, Prognathodon giganteus, Hainosaurus bernardi and an as yet unnamed Antarctic mosasaur. The frequency of occurrence in a given genus was independent of geography, present equally in European and North American and in the Niobara and Selma chalks. It was invariably absent from Clidastes propython and C. liodontus, Ectenosaurus, Halisaurus and Kolposaurus. The bone pathology, avascular necrosis, has a characteristic distribution in seven genera and thirteen species of mosasaurs and is absent in five genera and seven species. It segregated according to diving habits, uniformly present in supposed deep divers and uniformly absent in the shallow-habitat group.</t>
  </si>
  <si>
    <t>Arthritis Ctr NE Ohio, Youngstown, OH 44512 USA; Carnagie Museum Nat Hist, Pittsburgh, PA USA; Northeastern Ohio Univ Coll Med &amp; Pharm, Coll Med, Rootstown, OH 44272 USA; Univ Kansas, Museum Hist Nat, Lawrence, KS 66045 USA</t>
  </si>
  <si>
    <t>University System of Ohio; Northeast Ohio Medical University (NEOMED); University of Kansas</t>
  </si>
  <si>
    <t>Arthritis Ctr NE Ohio, 5500 Market St,Suite 199, Youngstown, OH 44512 USA.</t>
  </si>
  <si>
    <t>bmr@neoucom.edu</t>
  </si>
  <si>
    <t>0016-7746</t>
  </si>
  <si>
    <t>1573-9708</t>
  </si>
  <si>
    <t>NETH J GEOSCI</t>
  </si>
  <si>
    <t>Neth. J. Geosci.</t>
  </si>
  <si>
    <t>10.1017/S0016774600021120</t>
  </si>
  <si>
    <t>983FM</t>
  </si>
  <si>
    <t>WOS:000233216700020</t>
  </si>
  <si>
    <t>Cantrill, DJ; Hunter, MA</t>
  </si>
  <si>
    <t>Macrofossil floras of the Latady Basin, Antarctic Peninsula</t>
  </si>
  <si>
    <t>NEW ZEALAND JOURNAL OF GEOLOGY AND GEOPHYSICS</t>
  </si>
  <si>
    <t>Antarctica; Jurassic; macroflora; Latady Basin</t>
  </si>
  <si>
    <t>ELLSWORTH LAND; DIPTERID FERNS; ISLAND; ACCRETION; PENTOXYLALES; MAGMATISM; VOLCANISM; BIVALVES; MODEL; AGE</t>
  </si>
  <si>
    <t>New collections of plant material from the Merrick and Sweeney Mountains provide further evidence of Jurassic floral diversity in the Antarctic Peninsula. Eighteen taxa are recognised, including sphenophytes (Equisetum), ferns (Cladophlebis, Sphenopteris, Coniopteris), Bennettitales (Otozamites, Zamites, Ptilophyllum, Dicytozamites, Williamsonia), conifers (Pagiophyllum, Brachyphyllum, Elatocladus), and other seed plants (Taeniopteris, Archangelskya, Pachypteris). Many of these species occur in floras from the Botany Bay Group (Early-Middle Jurassic), and other Late Jurassic to Early Cretaceous sites across the Antarctic Peninsula. The plant material from the Latady Basin occurs in two main associations with distinct floristic compositions that reflect local environmental and taphonomic conditions. The richest localities occur in the deltaic settings, where paleosoil and leaf litter layers are preserved. In contrast, relatively little plant material is found in the wholly marine units such as those from the Hauberg Mountains.</t>
  </si>
  <si>
    <t>Swedish Museum Nat Hist, Dept Palaeobot, S-10405 Stockholm, Sweden; British Antarctic Survey, Nat Environm Res Council, Geosci Div, Cambridge CB3 0ET, England</t>
  </si>
  <si>
    <t>Swedish Museum of Natural History; UK Research &amp; Innovation (UKRI); Natural Environment Research Council (NERC); NERC British Antarctic Survey</t>
  </si>
  <si>
    <t>Swedish Museum Nat Hist, Dept Palaeobot, Box 50007, S-10405 Stockholm, Sweden.</t>
  </si>
  <si>
    <t>david.cantrill@nrm.se; mahu@bas.ac.uk</t>
  </si>
  <si>
    <t>0028-8306</t>
  </si>
  <si>
    <t>1175-8791</t>
  </si>
  <si>
    <t>NEW ZEAL J GEOL GEOP</t>
  </si>
  <si>
    <t>N. Z. J. Geol. Geophys.</t>
  </si>
  <si>
    <t>10.1080/00288306.2005.9515132</t>
  </si>
  <si>
    <t>Geology; Geosciences, Multidisciplinary</t>
  </si>
  <si>
    <t>976SL</t>
  </si>
  <si>
    <t>WOS:000232753500011</t>
  </si>
  <si>
    <t>Artamonov, YV; Bulgakov, NP; Lomakin, PD; Skripaleva, EA; Artamonov, AY; Stanichnii, SV</t>
  </si>
  <si>
    <t>Structure and seasonal variability of large-scale fronts in the southwestern Atlantic and a acent basins of the Antarctica based on hydrological and satellite data</t>
  </si>
  <si>
    <t>SOUTH-ATLANTIC; OCEAN</t>
  </si>
  <si>
    <t>A scheme of large-scale fronts in the Southwestern Atlantic and adjacent Antarctic basins is presented in a more exact form on the basis of two independent data sets: the climatic data set of the annual mean and monthly mean data on the temperature and salinity and the archive data of satellite measurements of the sea surface temperature (SST). Their annual mean vertical structure is analyzed. The main regularities of the interannual cycling of the variability of the thermal fronts and geostrophic currents in the region were distinguished. A tight correlation was found between the large-scale system of fronts and geostrophic currents in the study region. The possibility of monitoring large scale fronts and the corresponding currents was demonstrated on the basis of satellite observations of the temperature field at the ocean surface.</t>
  </si>
  <si>
    <t>Natl Acad Sci Ukraine, Inst Marine Hydrophys, Sevastopol, Ukraine; State Univ, Moscow Inst Phys &amp; Technol, Moscow, Russia</t>
  </si>
  <si>
    <t>National Academy of Sciences Ukraine; Moscow Institute of Physics &amp; Technology</t>
  </si>
  <si>
    <t>Artamonov, YV (corresponding author), Natl Acad Sci Ukraine, Inst Marine Hydrophys, Sevastopol, Ukraine.</t>
  </si>
  <si>
    <t>Skripaleva, Elena/AAC-6648-2020; Stanichny, Sergey/F-8915-2014; Artamonov, Arseniy/S-2004-2017</t>
  </si>
  <si>
    <t>Stanichny, Sergey/0000-0002-1033-5678; Artamonov, Arseniy/0000-0002-7949-7069; Artamonov, Yuriy/0000-0003-2669-7304; elena, skripaleva/0000-0003-1012-515X</t>
  </si>
  <si>
    <t>977QH</t>
  </si>
  <si>
    <t>WOS:000232817800002</t>
  </si>
  <si>
    <t>Thorn, V</t>
  </si>
  <si>
    <t>A Middle Jurassic fossil forest from New Zealand</t>
  </si>
  <si>
    <t>PALAEONTOLOGY</t>
  </si>
  <si>
    <t>Middle Jurassic; fossil forest; New Zealand; palaeoecology; growth ring analysis</t>
  </si>
  <si>
    <t>ALEXANDER-ISLAND; MURIHIKU TERRANE; GROWTH RINGS; ANTARCTICA; WOOD; RECONSTRUCTION; FLOODPLAIN; SOUTHLAND; CLIMATE; TREES</t>
  </si>
  <si>
    <t>A Middle Jurassic fossil forest, thought to have been growing at high southern palaeolatitudes on the Gondwana margin, is described from New Zealand. Fossil stump horizons are exposed in stratigraphic section within the Urawitiki Measures Formation, Murihiku Supergroup. Tree bases were preserved by silica permineralisation in a sandy braided river setting. Fossil wood is referred to 'abietinean-type' and Agathoxylon. A total of 238 stumps were mapped with measured diameters allowing tree height estimates of 9-40 m. A two-dimensional area (102 m(2)) allows an interpretation of tree density (2353 trees/ha), biomass (579 t/ha) and stand basal area (146 m(2)). This horizon is interpreted as a highly productive, young, dense tree stand probably actively regenerating on a flood-cleared surface. Annual growth rings suggest a clearly defined growing season with a rapid onset of favourable temperature, light and water supply conditions at the start and a similarly rapid deterioration at the end. Mean ring width is 1.10 mm and the maximum 9.67 mm. Mean Sensitivity values suggest both 'complacent' and 'sensitive' growth patterns. Broad palaeoclimate interpretations suggest a humid, warm regional climate throughout the growing season.</t>
  </si>
  <si>
    <t>Victoria Univ Wellington, Antarctic Res Ctr, Wellington, New Zealand</t>
  </si>
  <si>
    <t>Victoria University Wellington</t>
  </si>
  <si>
    <t>Thorn, V (corresponding author), Univ Leeds, Sch Earth &amp; Environm, Leeds LS2 9JT, W Yorkshire, England.</t>
  </si>
  <si>
    <t>vthorn@earth.leeds.ac.uk</t>
  </si>
  <si>
    <t>Bowman, Vanessa/0000-0002-4887-3949</t>
  </si>
  <si>
    <t>0031-0239</t>
  </si>
  <si>
    <t>10.1111/j.1475-4983.2005.00490.x</t>
  </si>
  <si>
    <t>964FX</t>
  </si>
  <si>
    <t>WOS:000231865500006</t>
  </si>
  <si>
    <t>Ruhland, CT; Xiong, FS; Clark, WD; Day, TA</t>
  </si>
  <si>
    <t>The influence of ultraviolet-B radiation on growth, hydroxycinnamic acids and flavonoids of Deschampsia antarctica during springtime ozone depletion in Antarctica</t>
  </si>
  <si>
    <t>PHOTOCHEMISTRY AND PHOTOBIOLOGY</t>
  </si>
  <si>
    <t>Symposium on UV Effects on Terrestrial Ecosystems</t>
  </si>
  <si>
    <t>JUL 13, 2004</t>
  </si>
  <si>
    <t>Seattle, WA</t>
  </si>
  <si>
    <t>UV-B; CELL-WALLS; COLOBANTHUS-QUITENSIS; PHENOLIC CONSTITUENTS; SCREENING PIGMENTS; VASCULAR PLANTS; CROSS-LINKING; FERULIC ACID; ACCUMULATION; LEAVES</t>
  </si>
  <si>
    <t>We examined the influence of solar ultraviolet-B radiation (UV-B; 280-320 nm) on the growth, biomass production and phenylpropanoid concentrations of Deschampsia antarctica during the springtime ozone depletion season at Palmer Station, along the Antarctic Peninsula. Treatments involved placing filters on frames over potted plants that reduced levels of biologically effective UV-B either by 83% (reduced UV-B) or by 12% (near-ambient UV-B) over the 63 day experiment (7 November 1998-8 January 1999) when ozone depletion averaged 17%. Plants growing under near-ambient UV-B had 41% and 40% lower relative growth rates and net assimilation rates, respectively, than those under reduced UV-B. The former plants produced 50% less total biomass as a result of having 47% less aboveground biomass. The reduction in aboveground biomass was a result of a 29% lower leaf elongation rate resulting in shorter leaves and 59% less total leaf area in plants grown under reduced UV-B. p-Coumaric, caffeic and ferulic acids were the major hydroxycinnamic acids, and luteolin derivatives were the major flavonoids in both insoluble and soluble leaf extracts. Concentrations of insoluble p-coumaric and caffeic acid and soluble ferulic acids were 38%, 48% and 60% higher, respectively, under near-ambient UV-B than under reduced UV-B. There were no UV-B effects on concentrations of insoluble or soluble flavonoids.</t>
  </si>
  <si>
    <t>Minnesota State Univ, Dept Biol Sci, Mankato, MN 56001 USA; Arizona State Univ, Sch Life Sci, Tempe, AZ USA</t>
  </si>
  <si>
    <t>Minnesota State Colleges &amp; Universities; Minnesota State University Mankato; Arizona State University; Arizona State University-Tempe</t>
  </si>
  <si>
    <t>Minnesota State Univ, Dept Biol Sci, TS-424 Trafton Sci Ctr, Mankato, MN 56001 USA.</t>
  </si>
  <si>
    <t>christopher.ruhland@mnsu.edu</t>
  </si>
  <si>
    <t>Day, Thomas/B-1462-2008</t>
  </si>
  <si>
    <t>Day, Thomas/0000-0002-1582-4585</t>
  </si>
  <si>
    <t>0031-8655</t>
  </si>
  <si>
    <t>1751-1097</t>
  </si>
  <si>
    <t>PHOTOCHEM PHOTOBIOL</t>
  </si>
  <si>
    <t>Photochem. Photobiol.</t>
  </si>
  <si>
    <t>10.1562/2004-09-18-RA-321</t>
  </si>
  <si>
    <t>Biochemistry &amp; Molecular Biology; Biophysics</t>
  </si>
  <si>
    <t>975CS</t>
  </si>
  <si>
    <t>WOS:000232639200009</t>
  </si>
  <si>
    <t>Mock, T; Hoch, N</t>
  </si>
  <si>
    <t>Long-term temperature acclimation of photosynthesis in steady-state cultures of the polar diatom Fragilariopsis cylindrus</t>
  </si>
  <si>
    <t>PHOTOSYNTHESIS RESEARCH</t>
  </si>
  <si>
    <t>acclimation; diatom; electron transport; Fragilariopsis cylindrus; low temperature; macroarray; polar; PSII</t>
  </si>
  <si>
    <t>SEA-ICE DIATOMS; CHLOROPHYLL FLUORESCENCE; ANTARCTIC PHYTOPLANKTON; THYLAKOID MEMBRANES; PHOTOSYSTEM-II; GROWTH; ALGAE; PHOTOADAPTATION; LIPIDS</t>
  </si>
  <si>
    <t>Cultures of the obligate psychrophilic diatom Fragilariopsis cylindrus (Grunow) were grown for 4 months under steady-state conditions at -1 degrees C and +7 degrees C (50 mu mol photons m(-2) s(-1)) prior to measurements in order to investigate long-term acclimation of photosynthesis to both temperatures. No differences in maximum intrinsic quantum yield of PS II (F-V/F-M) and relative electron transport rates could be detected at either temperature after 4 months of acclimation. Measurements of photosynthesis (relative electron transport rates) vs. irradiance (P vs. E curves) revealed similar values for relative light utilization efficiency (alpha = 0.57 at -1 degrees C, alpha = 0.60 at +7 degrees C) but higher values for irradiance levels at which photosynthesis saturates (E-K) at -1 degrees C and, therefore, higher maximum photosynthesis (P-MAX = 54 (relative units) at -1 degrees C, P-MAX = 49 at +7 degrees C). Nonphotochemical quenching (NPQ) measurements at 385 mu mol photons m(-2) s(-1) indicated higher (37%) NPQ for diatoms grown at -1 degrees C compared to +7 degrees C, which was possibly related to a 2-fold increase in the concentration of the pigment diatoxanthin and a 9-fold up-regulation of a gene encoding a fucoxanthin chlorophyll a,c-binding protein. Expression of the D1 protein encoding gene psbA was ca. 1.5-fold up-regulated at -1 degrees C, whereas expression levels of other genes from Photosystem II (psbC, psbU, psbO), as well as rbcL, the gene encoding the Rubisco large subunit were similar at both temperatures. However, a 2-fold up-regulation of a plastid glyceraldehyde-P dehydrogenase at -1 degrees C indicated enhanced Calvin cycle activity. This study revealed for the first time that a polar diatom could efficiently acclimate photosynthesis over a wide range of polar temperatures given enough time. Acclimation of photosynthesis at -1 degrees C was probably regulated similarly to high light acclimation.</t>
  </si>
  <si>
    <t>Mock, T (corresponding author), Alfred Wegener Inst Polar &amp; Marine Res, Handelshafen 12, D-27570 Bremerhaven, Germany.</t>
  </si>
  <si>
    <t>tmock@awi-bremerhaven.de</t>
  </si>
  <si>
    <t>Mock, Thomas/A-3127-2008</t>
  </si>
  <si>
    <t>Mock, Thomas/0000-0001-9604-0362</t>
  </si>
  <si>
    <t>0166-8595</t>
  </si>
  <si>
    <t>PHOTOSYNTH RES</t>
  </si>
  <si>
    <t>Photosynth. Res.</t>
  </si>
  <si>
    <t>10.1007/s11120-005-5668-9</t>
  </si>
  <si>
    <t>965KQ</t>
  </si>
  <si>
    <t>WOS:000231949800004</t>
  </si>
  <si>
    <t>Christoffersen, P; Piotrowski, JA; Larsen, NK</t>
  </si>
  <si>
    <t>Basal processes beneath an Arctic glacier and their geomorphic imprint after a surge, Elisebreen, Svalbard</t>
  </si>
  <si>
    <t>till; subglacial processes; flutings; surge; Svalbard; landforms</t>
  </si>
  <si>
    <t>ANTARCTIC ICE STREAM; FLOW; BAKANINBREEN; MECHANISM; LANDFORM; DEFORMATION; CONSTRAINTS; KONGSVEGEN; EVOLUTION; DYNAMICS</t>
  </si>
  <si>
    <t>The foreground of Elisebreen, a retreating valley glacier in West Svalbard, exhibits a well-preserved assemblage of subglacial landforms including ice-flow parallel ridges (flutings), ice-flow oblique ridges (crevasse-fill features), and meandering ridges (infill of basal meltwater conduits). Other landforms are thrust-block moraine, hummocky terrain, and drumlinoid hills. We argue in agreement with geomorphological models that this landform assemblage was generated by ice-flow instability, possibly a surge, which took place in the past when the ice was thicker and the bed warmer. The surge likely occurred due to elevated pore-water pressure in a thin layer of thawed and water-saturated till that separated glacier ice from a frozen substratum. Termination may have been caused by a combination of water drainage and loss of lubricating sediment. Sedimentological investigations indicate that key landforms may be formed by weak till oozing into basal cavities and crevasses, opening in response to accelerated ice flow, and into water conduits abandoned during rearrangement of the basal water system. Today, Elisebreen may no longer have surge potential due to its diminished size. The ability to identify ice-flow instability from geomorphological criteria is important in deglaciated terrain as well as in regions where ice dynamics are adapting to climate change. (c) 2005 University of Washington. All rights reserved.</t>
  </si>
  <si>
    <t>Univ Wales, Ctr Glaciol, Inst Geog &amp; Earth Sci, Aberystwyth SY23 3DB, Dyfed, Wales; Aarhus Univ, Dept Earth Sci, DK-8000 Aarhus, Denmark</t>
  </si>
  <si>
    <t>Aberystwyth University; Aarhus University</t>
  </si>
  <si>
    <t>Univ Wales, Ctr Glaciol, Inst Geog &amp; Earth Sci, Aberystwyth SY23 3DB, Dyfed, Wales.</t>
  </si>
  <si>
    <t>pac@aber.ac.uk; jan.piotrowski@geo.au.dk</t>
  </si>
  <si>
    <t>Larsen, Nicolaj Krog/ABE-4327-2021; Piotrowski, Jan A/A-5289-2012; Larsen, Nicolaj/A-3509-2012; Christoffersen, Poul/W-3708-2019</t>
  </si>
  <si>
    <t>Larsen, Nicolaj Krog/0000-0002-0117-1106; Larsen, Nicolaj/0000-0002-0117-1106; Christoffersen, Poul/0000-0003-2643-8724</t>
  </si>
  <si>
    <t>10.1016/j.yqres.2005.05.009</t>
  </si>
  <si>
    <t>963UO</t>
  </si>
  <si>
    <t>WOS:000231831800002</t>
  </si>
  <si>
    <t>Keeling, RF; Visbeck, M</t>
  </si>
  <si>
    <t>Northern ice discharges and Antarctic warming: could ocean eddies provide the link?</t>
  </si>
  <si>
    <t>LARGE-SCALE CIRCULATION; GLACIAL CLIMATE; THERMOHALINE CIRCULATION; SOUTHERN-OCEAN; PHASE-RELATIONSHIPS; COUPLED CLIMATE; ISOTOPE RECORDS; HUON PENINSULA; ATLANTIC-OCEAN; SEA</t>
  </si>
  <si>
    <t>A mechanism is advanced for explaining the Antarctic warm events from 90 to 30ka BP which involves meltwater-induced changes in the salinity gradient across the Antarctic Circumpolar Current (ACC) and consequent changes in the poleward heat transport by ocean eddies. Based on simple linear scale analysis, the mechanism is shown to yield warming in the Antarctic interior of roughly the magnitude seen in Antarctic ice-core records (similar to 2 degrees C) in response to ice discharges into the North Atlantic. Consistent with observations, the mechanism produces gradual Antarctic warming and cooling, as dictated by the time required for salinity anomalies to build up and dissipate across the ACC. The mechanism also allows the onset of warming or cooling to be tied to changes in Atlantic overturning, which is relevant here, not for influencing ocean heat transport directly, but for influencing the routing of meltwater from the North Atlantic into the Southern Ocean. The ideas presented here highlight the possibility that eddy processes in the ocean may play a first-order role in aspects of climate variability on millennial time scales. (c) 2005 Elsevier Ltd. All rights reserved.</t>
  </si>
  <si>
    <t>Univ Calif San Diego, Scripps Inst Oceanog, La Jolla, CA 92093 USA; GEOMAR, IFM, Leibniz Inst Meereswissensh, Kiel, Germany</t>
  </si>
  <si>
    <t>University of California System; University of California San Diego; Scripps Institution of Oceanography; Helmholtz Association; GEOMAR Helmholtz Center for Ocean Research Kiel</t>
  </si>
  <si>
    <t>Keeling, RF (corresponding author), Univ Calif San Diego, Scripps Inst Oceanog, La Jolla, CA 92093 USA.</t>
  </si>
  <si>
    <t>rkeeling@ucsd.edu</t>
  </si>
  <si>
    <t>Visbeck, Martin H/B-6541-2016; Visbeck, Martin/G-2461-2011</t>
  </si>
  <si>
    <t>Visbeck, Martin H/0000-0002-0844-834X; Visbeck, Martin/0000-0002-0844-834X</t>
  </si>
  <si>
    <t>16-17</t>
  </si>
  <si>
    <t>10.1016/j.quascirev.2005.04.005</t>
  </si>
  <si>
    <t>952ZD</t>
  </si>
  <si>
    <t>WOS:000231044100005</t>
  </si>
  <si>
    <t>Suggate, RP; Almond, PC</t>
  </si>
  <si>
    <t>The Last Glacial Maximum (LGM) in western South Island, New Zealand: implications for the global LGM and MIS 2</t>
  </si>
  <si>
    <t>SOUTHEASTERN NEW-ZEALAND; SEA-LEVEL CHANGE; KAWAKAWA TEPHRA; NORTH WESTLAND; RADIOCARBON-DATES; CLIMATE-CHANGE; STRATIGRAPHY; CHRONOLOGY; VEGETATION; RECORD</t>
  </si>
  <si>
    <t>The morainic and outwash deposits of the Larrikins (1a) and Moana (mn) formations in north Westland are correlated with the M5/T5 and M6/T6 deposits in south Westland. The 1a/M5 deposits resulted from two separate Otira Glaciation glacial advances (1a(1)/M5(1), 1a(2)/M5(2)) of essentially similar extents. Pollen sequences in peats and coverbeds extending from before to after the Kawakawa Tephra (26,500 cal. yr BP) indicate an extensive period of cold with a slight amelioration beginning shortly before tephra deposition. This amelioration, which is supported by interpretation of coverbed sequences in south Westland, separates the 1a(1)/M5(1) and 1a(2)/M5(2) advances. The three Westland glacial advances, 1a(1)/M5(1), 1a(2)/M5(2) and mn/M6, culminated at ca 28,000, 21,500 and 19,000 cal. yr BP, the last being followed by major rapid glacier retreat. Pollen and CaCO3 records from DSDP 594 east of the South Island reflect contemporary glacier fluctuations on the east side of the Southern Alps. They show the last major cold period as lasting from ca 34,000 to ca 16,000 years ago, a period starting before the culmination of the 1a(1)/M5(1) advance and ending later than the beginning of glacier retreat from the mn/M6 advance. The period from the 1a(1)/M5(1) culmination to the mn/M6 culmination represents the LGM in New Zealand. A slightly longer LGM is recorded in Chile, and a long LGM may also be indicated in Australia. A long LGM in the Southern Hemisphere is supported by the global sea level curve and by the regional Antarctic temperature criteria of the Vostok ice core. These different records indicate a Southern Hemisphere LGM beginning at least as early as 27,000 years ago, much earlier than the ocean Last Isotope Maximum (LIM) from 21,500 to 18,000 years ago. The beginning of MIS 2, defined primarily from deep-sea benthic 6180 at 24,000 years, is well after the beginning of ice advances leading to the Southern Hemisphere LGM. A review of global land and ocean correlations is desirable. (c) 2005 Elsevier Ltd. All rights reserved.</t>
  </si>
  <si>
    <t>Inst Geol &amp; Nucl Sci, Lower Hutt, New Zealand; Lincoln Univ, Div Agr &amp; Life Sci, Canterbury, New Zealand</t>
  </si>
  <si>
    <t>GNS Science - New Zealand; Lincoln University - New Zealand</t>
  </si>
  <si>
    <t>Suggate, RP (corresponding author), Inst Geol &amp; Nucl Sci, POB 30368, Lower Hutt, New Zealand.</t>
  </si>
  <si>
    <t>p.suggate@gns.cri.nz</t>
  </si>
  <si>
    <t>10.1016/j.quascirev.2004.11.007</t>
  </si>
  <si>
    <t>WOS:000231044100013</t>
  </si>
  <si>
    <t>Ribelatto, JC; Poli, AL; Moreira, LM; Imasato, H</t>
  </si>
  <si>
    <t>Pentacoordinate and hexacoordinate ferric hemes from the native and reconstituted d monomers of Glossoscolex paulistus</t>
  </si>
  <si>
    <t>QUIMICA NOVA</t>
  </si>
  <si>
    <t>Portuguese</t>
  </si>
  <si>
    <t>extracellular hemoglobin; hexacoordinate; pentacoordinate</t>
  </si>
  <si>
    <t>CYTOCHROME-C PEROXIDASE; LUMBRICUS-TERRESTRIS HEMOGLOBIN; RESONANCE RAMAN-SPECTRA; ANTARCTIC FISH HEMOGLOBINS; DISTAL HISTIDINE RESIDUE; SPERM-WHALE MYOGLOBIN; ANGLE X-RAY; FUNCTIONAL-CHARACTERIZATION; EXTRACELLULAR HEMOGLOBIN; HORSERADISH-PEROXIDASE</t>
  </si>
  <si>
    <t>UV-Vis and fluorescence spectroscopic studies of the native and reconstituted d monomers of Glossoscolex paulistus were performed in acid medium. The coexistence of distinct species shows the complexity of the equilibria. Besides the hexacoordinate low spin hemichrome, with bands at 535 and 565 nm, a pentacoordinate high spin hemichrome is identified by the blue-shifted low intensity Soret band (371 nm) and the LMCT band (643 nm). The pentacoordinate hemichrome must be related to the partial unfolding of the polypeptide.</t>
  </si>
  <si>
    <t>Univ Fed Sao Carlos, Inst Quim Sao Carlos, BR-01356097 Sao Carlos, SP, Brazil</t>
  </si>
  <si>
    <t>Universidade Federal de Sao Carlos</t>
  </si>
  <si>
    <t>Ribelatto, JC (corresponding author), Univ Fed Sao Carlos, Inst Quim Sao Carlos, CP 780, BR-01356097 Sao Carlos, SP, Brazil.</t>
  </si>
  <si>
    <t>ribelatto@iqsc.usp.br</t>
  </si>
  <si>
    <t>Leves, Alessandra L P/F-3540-2012; Moreira, Leonardo Marmo/AAT-3531-2020</t>
  </si>
  <si>
    <t>Imasato, Hidetake/0000-0003-1537-6978; Lima Poli, Alessandra/0000-0003-3393-5702</t>
  </si>
  <si>
    <t>SOC BRASILEIRA QUIMICA</t>
  </si>
  <si>
    <t>SAO PAULO</t>
  </si>
  <si>
    <t>CAIXA POSTAL 26037, 05599-970 SAO PAULO, BRAZIL</t>
  </si>
  <si>
    <t>0100-4042</t>
  </si>
  <si>
    <t>QUIM NOVA</t>
  </si>
  <si>
    <t>Quim. Nova</t>
  </si>
  <si>
    <t>10.1590/S0100-40422005000500019</t>
  </si>
  <si>
    <t>968JL</t>
  </si>
  <si>
    <t>gold, Green Published</t>
  </si>
  <si>
    <t>WOS:000232158700018</t>
  </si>
  <si>
    <t>Valdovinos, C; Rüth, M</t>
  </si>
  <si>
    <t>Nacellidae limpets of the southern end of South America:: taxonomy and distribution</t>
  </si>
  <si>
    <t>REVISTA CHILENA DE HISTORIA NATURAL</t>
  </si>
  <si>
    <t>nacellidae; Nacella; Patinigera; Chile; taxonomy; distribution</t>
  </si>
  <si>
    <t>ANTARCTIC LIMPET; CONCINNA STREBEL; PATELLA; GASTROPODS; DIVERSITY; PATTERNS</t>
  </si>
  <si>
    <t>Taxonomically, the Mollusca of the southern end of South America are moderately well known, but the literature is scattered, there is little information on their habitats, and distributional records are scarce for the Chilean archipelago lying between Chiloe Island (42 degrees S) and Tierra del Fuego (55 degrees S). Although much is known about the biology and ecology of of some species of Nacellidae, the taxonomy of the group have been partially neglected, particularly in remote areas of the world such as the Chilean fjords. Therefore, this study aims to clarify the nomenclatural status, and establish the morphological characteristics and distribution of the Chilean Nacellidae. Especially, the following three objectives are pursued: (i) to clarify the correct identity of existing species; (ii) to describe of morphological details, highlighting the clear diagnostic characters of each species. and (iii) to delimitate and discuss their geographical range in Chile. The examination of the Nacellidae of the Chilean fiords has resulted in the recognition of one species of Nacella (Nacella) and seven species of Nacella (Patinigera), wherein the principal specific differences are in the shell (shape, thickness and color) and in radular teeth morphology. The genus Nacella and its subgenus Patinigera are cold-water limpets, and are exclusively inhabitants of Subantarctic and Antarctic waters. The greater part of their range being subantarctic, but extending to the Antarctic by way of the Scotia Are, and also ranging northward up the Chilean coast to at least Valparaiso at 33 degrees S (only N. (P.) clypeater). They apparently have their centre of distribution in the Magellanic Province of southern South America, corresponding to an area with a high degree of diversification (N. (N.) mytilina, N. (P.) chiloensis, N. (P.) deaurata, N. (P.) delicatissima, N. (P.) flammea, N. (P.) magellanica, N. (P.) venosa), wherefrom the species tends to spread eastward, with a larval transport probably assisted to a considerable extent by the prevailing West Wind Drift which strongly operates in the Subantarctic Zone.</t>
  </si>
  <si>
    <t>Univ Concepcion, Ctr Environm Sci, EULA Chile, Unit Aquat Syst, Concepcion, Chile; Ctr Invest Ecosistemas Patagonia, CIEP, Concepcion, Chile</t>
  </si>
  <si>
    <t>Valdovinos, C (corresponding author), Univ Concepcion, Ctr Environm Sci, EULA Chile, Unit Aquat Syst, Casilla 160-C, Concepcion, Chile.</t>
  </si>
  <si>
    <t>cvaldovi@udec.cl</t>
  </si>
  <si>
    <t>Valdovinos, Claudio/AAQ-1625-2020</t>
  </si>
  <si>
    <t>SOC BIOLGIA CHILE</t>
  </si>
  <si>
    <t>SANTIAGO</t>
  </si>
  <si>
    <t>CASILLA 16164, SANTIAGO 9, CHILE</t>
  </si>
  <si>
    <t>0716-078X</t>
  </si>
  <si>
    <t>0717-6317</t>
  </si>
  <si>
    <t>REV CHIL HIST NAT</t>
  </si>
  <si>
    <t>Rev. Chil. Hist. Nat.</t>
  </si>
  <si>
    <t>973TC</t>
  </si>
  <si>
    <t>WOS:000232544500011</t>
  </si>
  <si>
    <t>Levina, EV; Kalinovsky, AI; Stonik, VA; Dmiternok, PS; Andriyashchenko, PV</t>
  </si>
  <si>
    <t>Steroid compounds from Far Eastern starfishes Henricia aspera and H. tumida</t>
  </si>
  <si>
    <t>RUSSIAN JOURNAL OF BIOORGANIC CHEMISTRY</t>
  </si>
  <si>
    <t>aglycones; glycosides; Henricia aspera; H. tumida; H-1 and C-13 NMR spectra; MALDI TOF mass spectra; polyhydroxysteroids</t>
  </si>
  <si>
    <t>ANTARCTIC STARFISH; GLYCOSIDES; POLYHYDROXYSTEROIDS; SAPONINS; OLIGOGLYCOSIDES; SANGUINOLENTA; CONSTITUENTS; POLYOLS</t>
  </si>
  <si>
    <t>Six new natural compounds were isolated from two Far Eastern starfish species, Henricia aspera and H. tumida, collected in the Sea of Okhotsk. Two new glycosylated steroid polyols were obtained from H. aspera: asperoside A and asperoside B, which were shown to be (20R,24R,25S)-3-O-(2,3-di-O-methyl-beta-D-xylopyranosyl)-24-methyl-5 alpha-cholest-4-ene-3 beta,6 beta,8,15 alpha,16 beta,26-hexaol and (20R,24R,25S,22E)-3-O-(2,4-di-O-methyl-beta-D-xylopyranosyl)-24-methyl-5 alpha-cholest-22-ene-3 beta,4 beta,6 beta,8,15 alpha,26-hexaol, respectively. Two other glycosylated polyols, tumidoside A, with the structure elucidated as (20R,22E)-3-O-(2,4-di-O-methyl-beta-D-xylopyranosyl)-26,27-dinor-24-methyl-5 alpha-cholest-22-ene-3 beta,4 beta,6 beta,8,15 alpha,25-hexaol, and tumidoside B, whose structure was elucidated as (20R,24S)-3-O-(2,3-di-O-methyl-beta-D-xylopyranosyl)-5 alpha-cholestan-3 alpha,4 beta,6 beta,8,15 alpha,24-hexaol, were isolated from the two starfish species. (20R,24S)-5 alpha-Cholestan-3 beta,6 beta,15 alpha,24-tetraol and (20R,24S)-5 alpha-cholestan-3 beta,6 beta,8,15 alpha,24-pentaol were identified only in H. tumida. The known monoglycosides henricioside H1 and laeviuscolosides H and G were also identified in both species.</t>
  </si>
  <si>
    <t>Russian Acad Sci, Pacific Inst Bioorgan Chem, Far E Div, Vladivostok 690022, Russia</t>
  </si>
  <si>
    <t>Russian Academy of Sciences; Elyakov Pacific Institute of Bioorganic Chemistry</t>
  </si>
  <si>
    <t>Levina, EV (corresponding author), Russian Acad Sci, Pacific Inst Bioorgan Chem, Far E Div, Pr 100 Letiya Vladivostoka 159, Vladivostok 690022, Russia.</t>
  </si>
  <si>
    <t>lev-ina@piboc.dvo.ru</t>
  </si>
  <si>
    <t>Stonik, Valentin/O-1985-2013</t>
  </si>
  <si>
    <t>MAIK NAUKA/INTERPERIODICA</t>
  </si>
  <si>
    <t>C/O KLUWER ACADEMIC-PLENUM PUBLISHERS, 233 SPRING ST, NEW YORK, NY 10013-1578 USA</t>
  </si>
  <si>
    <t>1068-1620</t>
  </si>
  <si>
    <t>RUSS J BIOORG CHEM+</t>
  </si>
  <si>
    <t>Russ. J. Bioorg. Chem.</t>
  </si>
  <si>
    <t>10.1007/s11171-005-0064-y</t>
  </si>
  <si>
    <t>Biochemistry &amp; Molecular Biology; Chemistry, Organic</t>
  </si>
  <si>
    <t>979HE</t>
  </si>
  <si>
    <t>WOS:000232932200008</t>
  </si>
  <si>
    <t>Jonsell, U; Hansson, ME; Mörth, CM; Torssander, P</t>
  </si>
  <si>
    <t>Sulfur isotopic signals in two shallow ice cores from Dronning Maud Land, Antarctica</t>
  </si>
  <si>
    <t>TELLUS SERIES B-CHEMICAL AND PHYSICAL METEOROLOGY</t>
  </si>
  <si>
    <t>SEA-SALT AEROSOL; SNOW CHEMISTRY; SULFATE; VOSTOK; ACCUMULATION; OXIDATION; DIOXIDE; FIRN; ACID; METHANESULFONATE</t>
  </si>
  <si>
    <t>Sulfate deposited onto the Antarctic ice sheet originates from a mixture of sulfur sources. Two 100 m long ice cores from Dronning Maud Land have been studied by means of sulfur isotopic analysis and detailed ion analysis to reveal temporal and spatial differences in the influencing sulfur source. The two ice cores represent the coastal area and the polar plateau, respectively. The isotopic signals were similar within each ice core, indicating no temporal change of influencing sources during the last 1100 yr. The mean values at the two different sites were also similar: 14.6 +/- 0.3 parts per thousand and 14.7 +/- 0.3 parts per thousand, respectively. The similarity remains between calculated non-sea-salt values when a sulfate-depleted sea-salt aerosol is assumed in the costal core. When the influence of sporadic explosive volcanic eruptions is subtracted from the signal, the isotopic value from the polar plateau (15.4 +/- 0.6 parts per thousand) is significantly lower than prescribed values for marine biogenic sulfur. This suggests that one or more additional sources contribute to the sulfate budget. Several possible contributors are discussed in the context of former sulfur isotopic signals presented from Antarctica.</t>
  </si>
  <si>
    <t>Stockholm Univ, Dept Phys Geog &amp; Quaternary Geol, S-10691 Stockholm, Sweden; Stockholm Univ, Dept Geol &amp; Geochem, S-10691 Stockholm, Sweden</t>
  </si>
  <si>
    <t>Stockholm University; Stockholm University</t>
  </si>
  <si>
    <t>Stockholm Univ, Dept Phys Geog &amp; Quaternary Geol, S-10691 Stockholm, Sweden.</t>
  </si>
  <si>
    <t>ulfj@natgeo.su.se</t>
  </si>
  <si>
    <t>Jonsell, Ulf/F-3116-2015</t>
  </si>
  <si>
    <t>Jonsell, Ulf/0000-0001-6532-8590</t>
  </si>
  <si>
    <t>1600-0889</t>
  </si>
  <si>
    <t>TELLUS B</t>
  </si>
  <si>
    <t>Tellus Ser. B-Chem. Phys. Meteorol.</t>
  </si>
  <si>
    <t>10.1111/j.1600-0889.2005.00157.x</t>
  </si>
  <si>
    <t>959IH</t>
  </si>
  <si>
    <t>WOS:000231510900006</t>
  </si>
  <si>
    <t>van Hoof, TB; Kaspers, KA; Wagner, F; van de Wal, RSW; Kürschner, WM; Visscher, H</t>
  </si>
  <si>
    <t>Atmospheric CO2 during the 13th century AD:: reconciliation of data from ice core measurements and stomatal frequency analysis</t>
  </si>
  <si>
    <t>ANTARCTIC ICE; LAST MILLENNIUM; GREENLAND ICE; FOSSIL LEAVES; FIRN; AIR; AGE; VARIABILITY; INCREASE; RECORDS</t>
  </si>
  <si>
    <t>Atmospheric CO2 reconstructions are currently available from direct measurements of air enclosures in Antarctic ice and, alternatively, from stomatal frequency analysis performed on fossil leaves. A period where both methods consistently provide evidence for natural CO2 changes is during the 13th century AD. The results of the two independent methods differ significantly in the amplitude of the estimated CO2 changes (10 ppmv ice versus 34 ppmv stomatal frequency). Here, we compare the stomatal frequency and ice core results by using a firn diffusion model in order to assess the potential influence of smoothing during enclosure on the temporal resolution as well as the amplitude of the CO2 changes. The seemingly large discrepancies between the amplitudes estimated by the contrasting methods diminish when the raw stomatal data are smoothed in an analogous way to the natural smoothing which occurs in the firn.</t>
  </si>
  <si>
    <t>Univ Utrecht, Palaeobot &amp; Palynol Lab, Dept Palaeoecol, NL-3584 CD Utrecht, Netherlands; Univ Utrecht, Inst Marine &amp; Atmospher Res Utrecht, NL-3584 CC Utrecht, Netherlands</t>
  </si>
  <si>
    <t>Univ Utrecht, Palaeobot &amp; Palynol Lab, Dept Palaeoecol, Budapestlaan 14, NL-3584 CD Utrecht, Netherlands.</t>
  </si>
  <si>
    <t>T.B.vanHoof@bio.uu.nl</t>
  </si>
  <si>
    <t>Kürschner, Wolfram Michael/AAC-7769-2020; van de wal, roderik/D-1705-2011; Kürschner, Wolfram Michael/B-4724-2009; Wagner-Cremer, Friederike/B-4225-2009</t>
  </si>
  <si>
    <t>Kürschner, Wolfram Michael/0000-0001-6883-6486; van de wal, roderik/0000-0003-2543-3892; Kürschner, Wolfram Michael/0000-0001-6883-6486; Wagner-Cremer, Friederike/0000-0002-8119-3558; Visscher, Henk/0000-0002-9276-0220</t>
  </si>
  <si>
    <t>10.1111/j.1600-0889.2005.00154.x</t>
  </si>
  <si>
    <t>WOS:000231510900007</t>
  </si>
  <si>
    <t>Porubov, AV; Tsuji, H; Lavrenov, IV; Oikawa, M</t>
  </si>
  <si>
    <t>Formation of the rogue wave due to non-linear two-dimensional waves interaction</t>
  </si>
  <si>
    <t>WAVE MOTION</t>
  </si>
  <si>
    <t>rogue wave; solitary wave; crested waves interaction</t>
  </si>
  <si>
    <t>SOLITARY WAVES; SHALLOW-WATER; EQUATION</t>
  </si>
  <si>
    <t>It is shown that generation of the rogue waves in the ocean may be described in framework of non-linear two-dimensional shallow water theory where the simplest two-dimensional long wave non-linear model corresponds to the Kadomtsev-Petviashvili (KP) equation. Numerical solution of the KP equation is obtained to account for the formation of localized abnormally high amplitude wave due to a resonant superposition of two incidentally non-interacting long-crested waves. Peculiarities of the solution allow to explain rare and unexpected appearance of the rough waves. However, our solution differs from the exact two-solitary wave solution of the KP equation used before for the rogue waves description. (c) 2005 Elsevier B.V. All rights reserved.</t>
  </si>
  <si>
    <t>AF Ioffe Phys Tech Inst, St Petersburg 194021, Russia; Kyushu Univ, Res Inst Appl Mech, Kasuga, Fukuoka 8168580, Japan; Arctic &amp; Antarctic Res Inst, St Petersburg 199226, Russia</t>
  </si>
  <si>
    <t>Russian Academy of Sciences; St. Petersburg Scientific Centre of the Russian Academy of Sciences; Ioffe Physical Technical Institute; Kyushu University; Arctic &amp; Antarctic Research Institute</t>
  </si>
  <si>
    <t>Porubov, AV (corresponding author), AF Ioffe Phys Tech Inst, Politekhnicheskaya 26, St Petersburg 194021, Russia.</t>
  </si>
  <si>
    <t>porubov@math.ioffe.ru</t>
  </si>
  <si>
    <t>Porubov, Alexey/K-9277-2019; Porubov, Alexey/M-9522-2013</t>
  </si>
  <si>
    <t>Porubov, Alexey/0000-0002-9893-7242</t>
  </si>
  <si>
    <t>0165-2125</t>
  </si>
  <si>
    <t>Wave Motion</t>
  </si>
  <si>
    <t>10.1016/j.wavemoti.2005.02.001</t>
  </si>
  <si>
    <t>Acoustics; Mechanics; Physics, Multidisciplinary</t>
  </si>
  <si>
    <t>Acoustics; Mechanics; Physics</t>
  </si>
  <si>
    <t>949XZ</t>
  </si>
  <si>
    <t>WOS:000230823500002</t>
  </si>
  <si>
    <t>Reinsel, GC; Miller, AJ; Weatherhead, EC; Flynn, LE; Nagatani, RM; Tiao, GC; Wuebbles, DJ</t>
  </si>
  <si>
    <t>Trend analysis of total ozone data for turnaround and dynamical contributions</t>
  </si>
  <si>
    <t>RECOVERY</t>
  </si>
  <si>
    <t>Statistical trend analyses have been performed for monthly zonal average total ozone data from both TOMS and SBUV satellite sources and ground-based instruments over the period 1978-2002 for detection of a turnaround'' in the previous downward trend behavior and hence evidence for the beginning of an ozone recovery. Since other climatic and geophysical changes can impact ozone behavior and can influence the detection of turnaround and recovery, we also focus on accounting for ozone variations that may be ascribed to various physical and chemical influences. Thus we include in the statistical trend modeling and analysis the effects of various dynamical and circulation variations in the atmosphere, including those associated with the quasibiennial oscillation (QBO), Arctic Oscillation (AO) and Antarctic Oscillation (AAO), and Eliassen-Palm (EP) flux influences, as well as influences of solar cycle. A notable result of the analysis is that for latitude zones of 40 degrees and above in both hemispheres, large positive and significant estimates of a change in trend (since 1996) are obtained (on the order of 1.5 to 3 DU per year). The dynamic index series, AO/AAO and EP flux, are found to have a substantial influence on total ozone for these higher latitudes, and significant influences of lesser magnitude are also found for lower latitudes. The feature of positive significant change in trend in total ozone over recent years, however, is obtained both without and with the dynamical index terms included in the statistical models.</t>
  </si>
  <si>
    <t>Univ Colorado, Cooperat Inst Res Environm Sci, Boulder, CO 80309 USA; Univ Wisconsin, Dept Stat, Madison, WI 53706 USA; NWS, Climate Predict Ctr, NOAA, NCEP, Camp Springs, MD USA; Natl Environm Satellite Data &amp; Informat Serv, NOAA, Silver Spring, MD USA; Univ Chicago, Grad Sch Business, Chicago, IL 60637 USA; Univ Illinois, Dept Atmospher Sci, Urbana, IL 61801 USA</t>
  </si>
  <si>
    <t>University of Colorado System; University of Colorado Boulder; University of Wisconsin System; University of Wisconsin Madison; National Oceanic Atmospheric Admin (NOAA) - USA; National Oceanic Atmospheric Admin (NOAA) - USA; University of Chicago; University of Illinois System; University of Illinois Urbana-Champaign</t>
  </si>
  <si>
    <t>Univ Colorado, Cooperat Inst Res Environm Sci, Boulder, CO 80309 USA.</t>
  </si>
  <si>
    <t>alvin.miller@noaa.gov; betsy.weatherhead@noaa.gov; lawrence.e.ynn@noaa.gov; ronald.nagatani@noaa.gov; gct@gsb.uchicago.edu; wuebbles@atmos.uiuc.edu</t>
  </si>
  <si>
    <t>Weatherhead, Elizabeth/I-7091-2015; Flynn, Lawrence/B-6321-2009</t>
  </si>
  <si>
    <t>Weatherhead, Elizabeth/0000-0002-9252-4228; Flynn, Lawrence/0000-0001-6856-2614</t>
  </si>
  <si>
    <t>AUG 31</t>
  </si>
  <si>
    <t>D16</t>
  </si>
  <si>
    <t>D16306</t>
  </si>
  <si>
    <t>10.1029/2004JD004662</t>
  </si>
  <si>
    <t>962JK</t>
  </si>
  <si>
    <t>WOS:000231727400001</t>
  </si>
  <si>
    <t>Lee, JI; Park, BK; Jwa, YJ; Yoon, HI; Yoo, KC; Kim, Y</t>
  </si>
  <si>
    <t>Geochemical characteristics and the provenance of sediments in the Bransfield Strait, West Antarctica</t>
  </si>
  <si>
    <t>Bransfield Strait; South Shetland Islands; Antarctic Peninsula; Antarctica; provenance</t>
  </si>
  <si>
    <t>SOUTH SHETLAND ISLANDS; TRACE-ELEMENT CHARACTERISTICS; KING-GEORGE-ISLAND; VOLCANIC-ROCKS; GLACIOMARINE SEDIMENTATION; CRUSTAL EVOLUTION; LATE-HOLOCENE; PENINSULA; BASIN; CONSTRAINTS</t>
  </si>
  <si>
    <t>The Bransfield Basin is a Quaternary marginal basin separating the South Shetland Islands from the Antarctic Peninsula. We analyzed major, trace, and rare earth element chemistries, and the Nd, Sr, and Pb isotopic compositions for six piston core sediments from the western and eastern Bransfield basins to determine the sediment provenance and factors controlling the composition of the sediments. The Bransfield sediments have chemical characteristics similar to sediments deposited in a tectonically active setting where the source rocks are predominated by igneous rocks of intermediate to mafic composition: low K and high CN in the A-CN-K diagram, low La/Sc, low Th/Sc, and lower LREE/HREE than average shale. The low chemical alteration index of the sediments, about 45 on average, suggests the effect of weathering on the sediment composition was minimal. The source rocks of the Bransfield sediments are mostly composed of Mesozoic to Tertiary arc volcanic and plutonic rocks in the Antarctic Peninsula and the South Shetland Islands. Meanwhile, contributions from other rock types in the northern Antarctic Peninsula region, such as the Trinity Peninsula Group or Scotia Metamorphic Complex, seem to be negligible. The Bransfield sediments can be divided into three distinct compositional groups. Group I sediments have a lower La/Yb and a less prominent negative Eu anomaly than Group II sediments. They are also characterized by negative Ce anomalies. Group I sediments have been derived mainly from the South Shetland Islands, whereas Group II sediments, which are more widespread than Group I sediments in the Bransfield Strait, have been derived mainly from the Antarctic Peninsula. Group III sediments, which are very low in La/Yb with the lowest Sr-87/Sr-86 and the highest Nd-143/Nd-144 values, have been derived from Deception Island. The composition of the Bransfield sediments is largely controlled by the composition of nearby source rocks; the distribution of sediments is further modified by the current and topography of the basin. (c) 2005 Elsevier B.V. All rights reserved.</t>
  </si>
  <si>
    <t>Korea Ocean Res &amp; Dev Inst, Korea Polar Res Inst, Ansan 425600, South Korea; Gyeongsang Natl Univ, Dept Earth Environm Sci, Gyeongnam 660701, South Korea</t>
  </si>
  <si>
    <t>Korea Institute of Ocean Science &amp; Technology (KIOST); Korea Polar Research Institute (KOPRI); Gyeongsang National University</t>
  </si>
  <si>
    <t>Korea Ocean Res &amp; Dev Inst, Korea Polar Res Inst, POB 29, Ansan 425600, South Korea.</t>
  </si>
  <si>
    <t>leeji@kopf.re.kr</t>
  </si>
  <si>
    <t>1872-6151</t>
  </si>
  <si>
    <t>AUG 30</t>
  </si>
  <si>
    <t>2-3</t>
  </si>
  <si>
    <t>10.1016/j.margeo.2005.06.002</t>
  </si>
  <si>
    <t>961FL</t>
  </si>
  <si>
    <t>WOS:000231647200002</t>
  </si>
  <si>
    <t>Cortese, G; Dolven, JK; Bjorklund, KR; Malmgren, BA</t>
  </si>
  <si>
    <t>Late Pleistocene-Holocene radiolarian paleotemperatures in the Norwegian Sea based on artificial neural networks</t>
  </si>
  <si>
    <t>artificial neural networks; radiolarians; Nordic seas; late Pleistocene; Holocene</t>
  </si>
  <si>
    <t>ABRUPT CLIMATE-CHANGE; HIGH-RESOLUTION; SURFACE TEMPERATURES; ANTARCTIC PENINSULA; SOLAR VARIABILITY; SOUTHERN-OCEAN; ATLANTIC; ICE; RECORD; ATMOSPHERE</t>
  </si>
  <si>
    <t>Artificial Neural Networks (ANN) were trained by using an extensive radiolarian census dataset from the Nordic (Greenland, Norwegian, and Iceland) Seas. The regressions between observed and predicted Summer Sea Temperature (SST) indicate that lower error margins and better correlation coefficients are obtained for 100 m (SST100) compared to 10 m (SST10) water depth, and by using a subset of species instead of all species. The trained ANNs were subsequently applied to radiolarian data from two Norwegian Sea cores, HM 79-4 and MD95-2011, for reconstructions of SSTs through the last 15,000 years. The reconstructed SST is quite high during the Bolling-Allerod, when it reaches values only found later during the warmest phase of the Holocene. The climatic transitions in and out of the Younger Dryas are very rapid and involve a change in SST100 of 6.2 and 6.8 degrees C, taking place over 440 and 140 years, respectively. SST100 remains at a maximum during the early Holocene, and this Radiolarian Holocene Optimum Temperature Interval (RHOTI) predates the commonly recognized middle Holocene Climatic Optimum (HCO). During the 8.2 ka event, SST100 decreases by ca. 3 degrees C, and this episode marks the establishment of a cooling trend, roughly spanning the middle Holocene (until ca. 4.2 ka). Successively, since then and through the late Holocene, SST100 follows instead a statistically significant warming trend. The general patterns of the reconstructed SSTs agree quite well with previously obtained results based on application of Imbrie and Kipp Transfer Functions (IKTF) to the same two cores for SST0. A statistically significant cyclic component of our SST record (period of 278 years) has been recognized. This is close to the de Vries or Suess cycle, linked to solar variability, and documented in a variety of other high-resolution Holocene records. (c) 2005 Elsevier B.V. All rights reserved.</t>
  </si>
  <si>
    <t>Alfred Wegener Inst Polar &amp; Marine Res, Bremerhaven, Germany; Univ Oslo, Geol Museum, N-0318 Oslo, Norway; Univ Gothenburg, Dept Earth Sci Marine Geol, SE-40530 Gothenburg, Sweden</t>
  </si>
  <si>
    <t>Helmholtz Association; Alfred Wegener Institute, Helmholtz Centre for Polar &amp; Marine Research; University of Oslo; University of Gothenburg</t>
  </si>
  <si>
    <t>Alfred Wegener Inst Polar &amp; Marine Res, Columbusstr,POB 120161-27515, Bremerhaven, Germany.</t>
  </si>
  <si>
    <t>gcortese@awi-bremerhaven.de</t>
  </si>
  <si>
    <t>Cortese, Giuseppe/C-8281-2011; Malmgren, Björn A./JNR-9565-2023; Malmgren, Bjorn A/A-6283-2009</t>
  </si>
  <si>
    <t>Cortese, Giuseppe/0000-0003-1780-3371;</t>
  </si>
  <si>
    <t>AUG 29</t>
  </si>
  <si>
    <t>10.1016/j.palaeo.2005.04.015</t>
  </si>
  <si>
    <t>958VY</t>
  </si>
  <si>
    <t>WOS:000231477500001</t>
  </si>
  <si>
    <t>Carril, AF; Menéndez, CG; Navarra, A</t>
  </si>
  <si>
    <t>Climate response associated with the Southern Annular Mode in the surroundings of Antarctic Peninsula:: A multimodel ensemble analysis -: art. no. L16713</t>
  </si>
  <si>
    <t>EXTRATROPICAL CIRCULATION; SEA-ICE; VARIABILITY; TEMPERATURES; TRENDS</t>
  </si>
  <si>
    <t>This paper is an attempt to extract an average picture of the response of the Southern Annular Mode (SAM) to increasing greenhouse gases (GHG) forcing from a multimodel ensemble of simulations conducted in the framework of the IPCC 4th assessment experiments. Our analysis confirms that the climate change signal in the mid-to high southern latitudes projects strongly into the positive phase ( PP) of the SAM. Over the present climate time slice ( 1970 - 1999), multimodel ensemble mean reproduce the regional warming around the Antarctic Peninsula (AP) associated with the SAM. When increasing GHG ( future time slice, 2070 - 2099), warming in the neighborhoods of the AP and decreasing sea-ice volume in the sea-ice edge region in the Amundsen and Weddell Seas intensifies, suggesting that recent observed sea-ice trends around AP could be associated to anthropogenic forcings. Changes in surface temperature and sea-ice are consistent with anomalous atmospheric heat transport associated with circulation anomalies.</t>
  </si>
  <si>
    <t>Natl Inst Geophys &amp; Volcanol, I-40128 Bologna, Italy; Univ Buenos Aires, Ctr Invest Mar &amp; Atmosphere, Consejo Invest Mar &amp; Atmosphere, RA-1428 Buenos Aires, DF, Argentina</t>
  </si>
  <si>
    <t>Istituto Nazionale Geofisica e Vulcanologia (INGV); University of Buenos Aires</t>
  </si>
  <si>
    <t>Carril, AF (corresponding author), Natl Inst Geophys &amp; Volcanol, Via Donato Creti 12, I-40128 Bologna, Italy.</t>
  </si>
  <si>
    <t>carril@bo.ingv.it; menendez@cima.fcen.uba.ar; navarra@bo.ingv.it</t>
  </si>
  <si>
    <t>Carril, Andrea F./GON-3361-2022</t>
  </si>
  <si>
    <t>Carril, Andrea F./0000-0003-3743-9685; Menendez, Claudio Guillermo/0000-0002-2779-7123</t>
  </si>
  <si>
    <t>AUG 27</t>
  </si>
  <si>
    <t>L16713</t>
  </si>
  <si>
    <t>10.1029/2005GL023581</t>
  </si>
  <si>
    <t>960CY</t>
  </si>
  <si>
    <t>WOS:000231569000004</t>
  </si>
  <si>
    <t>Raymond, MJ; Gudmundsson, GH</t>
  </si>
  <si>
    <t>On the relationship between surface and basal properties on glaciers, ice sheets, and ice streams</t>
  </si>
  <si>
    <t>FLOW; ANTARCTICA; BED; DEFORMATION; TOPOGRAPHY; MECHANICS; BEDROCK; MODEL</t>
  </si>
  <si>
    <t>The influence of basal disturbances on the steady state surface topography and on surface velocities of glaciers and ice sheets is investigated numerically. This is done for finite amplitude basal perturbations in both bed topography and basal slipperiness using a nonlinear ice rheology and a nonlinear sliding law. The effects of varying the exponent n in Glen's flow law on transfer characteristics are mainly quantitative and do not affect qualitative aspects of the transfer amplitudes and phase shifts, such as the number of maxima and inflection points when plotted as functions of wavelength. In particular, the well- known maximum in bed- to- surface transfer amplitude for a Newtonian medium at sufficiently high slip ratios ( ratio between mean sliding velocity and mean ice deformational velocity) also forms for n &gt; 1. Transfer amplitudes generally become smaller with increasing n for wavelengths less than about 3 times the mean ice thickness ( h). For larger wavelengths the situation is reversed and transfer amplitudes increase with n. For active ice streams, characterized by high basal slipperiness, low surface slopes (&lt; 0.5 degrees), and n = 3, topographic transfer amplitudes are generally large (&gt; 0.5) and fairly constant for all wavelengths longer than about 3 - 5h. With increasing n and decreasing surface slope the lower limit of wavelengths over which horizontal stress gradients can be ignored increases markedly. Perturbation solutions for Newtonian medium are found to give an accurate description of the transfer characteristics for bedrock amplitudes up to 50% ice thickness and for fractional amplitudes of slipperiness perturbations up to 0.5.</t>
  </si>
  <si>
    <t>ETH, Sect Glaciol, Lab Hydraul Hydrol &amp; Glaciol, Swiss Fed Inst Technol, CH-8092 Zurich, Switzerland; British Antarctic Survey, Cambridge BC3 0ET, England</t>
  </si>
  <si>
    <t>Swiss Federal Institutes of Technology Domain; ETH Zurich; UK Research &amp; Innovation (UKRI); Natural Environment Research Council (NERC); NERC British Antarctic Survey</t>
  </si>
  <si>
    <t>ETH, Sect Glaciol, Lab Hydraul Hydrol &amp; Glaciol, Swiss Fed Inst Technol, Gloriastr 37-39, CH-8092 Zurich, Switzerland.</t>
  </si>
  <si>
    <t>melanie.raymond@ethz.ch; ghg@bas.ac.uk</t>
  </si>
  <si>
    <t>Raymond Pralong, Mélanie/I-5000-2016; Gudmundsson, Gudmundur Hilmar/AAU-5987-2020; Gudmundsson, Gudmundur Hilmar/F-6499-2012</t>
  </si>
  <si>
    <t>AUG 26</t>
  </si>
  <si>
    <t>B8</t>
  </si>
  <si>
    <t>B08411</t>
  </si>
  <si>
    <t>10.1029/2005JB003681</t>
  </si>
  <si>
    <t>960ED</t>
  </si>
  <si>
    <t>WOS:000231572100002</t>
  </si>
  <si>
    <t>Zooplankton studies with special reference to krill Euphausia superba Dana from fishing area 58 of Indian Ocean sector in Southern Ocean</t>
  </si>
  <si>
    <t>Antarctica krill; austral summer; copepods; Southern Ocean; zooplankton</t>
  </si>
  <si>
    <t>PRINCE-EDWARD-ISLANDS; ANTARCTIC ZOOPLANKTON; COMMUNITY</t>
  </si>
  <si>
    <t>Distribution, abundance and species composition of zooplankton collected during the First Indian Antarctic Krill Expedition were studied. Zooplankton biomass values ranged from 9.79 to 303.62 ml 100 m(-3) (x = 142.14 +/- 77.02). High standing stock values were recorded in the study area, where copepods, chaetognaths, euphausiids and salps were dominant taxa. Copepods and chaetognaths formed the major constituents of zooplankton community and comprised more than 70% of zooplankton catch. Swarms of krill and salps were observed during the study period (austral summer), which were the prime cause for high standing stock of zooplankton. The prevailing physico-chemical parameters with rich food supply were important factors influencing the geographical distribution of different zooplankton groups. The study revealed that the present investigation site falls under potential krill fishing ground.</t>
  </si>
  <si>
    <t>AUG 25</t>
  </si>
  <si>
    <t>961BV</t>
  </si>
  <si>
    <t>WOS:000231637800031</t>
  </si>
  <si>
    <t>Klekociuk, AR; Brown, PG; Pack, DW; ReVelle, DO; Edwards, WN; Spalding, RE; Tagliaferri, E; Yoo, BB; Zagari, J</t>
  </si>
  <si>
    <t>Meteoritic dust from the atmospheric disintegration of a large meteoroid</t>
  </si>
  <si>
    <t>STRATOSPHERIC CLOUDS; LIDAR MEASUREMENTS; PARTICLES; VALIDATION; ANTARCTICA; DATABASE; MIDDLE; EARTH</t>
  </si>
  <si>
    <t>Much of the mass of most meteoroids entering the Earth's atmosphere is consumed in the process of ablation. Larger meteoroids (&gt; 10 cm), which in some cases reach the ground as meteorites, typically have survival fractions near 1 - 25 per cent of their initial mass(1). The fate of the remaining ablated material is unclear, but theory suggests that much of it should recondense through coagulation as nanometre-sized particles(2). No direct measurements of such meteoric 'smoke' have hitherto been made(3). Here we report the disintegration of one of the largest meteoroids to have entered the Earth's atmosphere during the past decade, and show that the dominant contribution to the mass of the residual atmospheric aerosol was in the form of micrometre-sized particles. This result is contrary to the usual view that most of the material in large meteoroids is efficiently converted to particles of much smaller size through ablation(4). Assuming that our observations are of a typical event, we suggest that large meteoroids provide the dominant source of micrometre-sized meteoritic dust at the Earth's surface over long timescales.</t>
  </si>
  <si>
    <t>Australian Antarctic Div, Kingston, Tas 7050, Australia; Univ Western Ontario, Dept Phys &amp; Astron, London, ON N6A 3K7, Canada; Aerosp Corp, El Segundo, CA 90245 USA; Los Alamos Natl Lab, Los Alamos, NM 87545 USA; Sandia Natl Labs, Albuquerque, NM 87185 USA</t>
  </si>
  <si>
    <t>Australian Antarctic Division; Western University (University of Western Ontario); Aerospace Corporation - USA; United States Department of Energy (DOE); Los Alamos National Laboratory; United States Department of Energy (DOE); Sandia National Laboratories</t>
  </si>
  <si>
    <t>Klekociuk, AR (corresponding author), Australian Antarctic Div, Channel Highway, Kingston, Tas 7050, Australia.</t>
  </si>
  <si>
    <t>andrew.klekociuk@aad.gov.au</t>
  </si>
  <si>
    <t>Brown, Peter G/C-8763-2018; Klekociuk, Andrew/A-4498-2015</t>
  </si>
  <si>
    <t>Brown, Peter/0000-0001-6130-7039; Klekociuk, Andrew/0000-0003-3335-0034</t>
  </si>
  <si>
    <t>10.1038/nature03881</t>
  </si>
  <si>
    <t>958AK</t>
  </si>
  <si>
    <t>WOS:000231416600039</t>
  </si>
  <si>
    <t>Mervis, J</t>
  </si>
  <si>
    <t>US polar science - NSF taps Russian vessel for Antarctic icebreaking</t>
  </si>
  <si>
    <t>AUG 19</t>
  </si>
  <si>
    <t>10.1126/science.309.5738.1164</t>
  </si>
  <si>
    <t>957TE</t>
  </si>
  <si>
    <t>WOS:000231395400005</t>
  </si>
  <si>
    <t>Delval, C; Rossi, MJ</t>
  </si>
  <si>
    <t>Influence of monolayer amounts of HNO3 on the evaporation rate of H2O over ice in the range 179 to 208 K:: A quartz crystal microbalance study</t>
  </si>
  <si>
    <t>JOURNAL OF PHYSICAL CHEMISTRY A</t>
  </si>
  <si>
    <t>POLAR STRATOSPHERIC CLOUDS; IN-SITU MEASUREMENTS; NITRIC-ACID ICE; INFRARED-SPECTRA; CIRRUS CLOUDS; HETEROGENEOUS REACTIONS; ARCTIC STRATOSPHERE; DESORPTION-KINETICS; ANTARCTIC OZONE; FILMS</t>
  </si>
  <si>
    <t>The evaporation flux J(ev) of H2O from thin H2O ice films containing between 0.5 and 7 monolayers of HNO3 has been measured in the range 179 to 208 K under both molecular and stirred flow conditions in isothermal experiments. FTIR absorption of the HNO3/H2O Condensate revealed the formation of metastable alpha-NAT (HNO(3)(.)3H(2)O) converting to stable beta-NAT at 205 K. After deposition of HNO3 for 16-80 s on a 1 mu m thick pure ice film at a deposition rate in the range (6-60) x 10(12) molecules s(-1) the initial evaporative flux J(ev)-(H2O) was always that of pure ice. J(ev)(H2O) gradually decreased with the evaporation of H2O and the concomitant increase of the average mole fraction of HNO3, chi(HNO3), indicating the presence of an amorphous mixture of H2O/HNO3 that is called complexed or (c)-ice whose vapor pressure is that of pure ice. The final value of J(ev) was smaller by factors varying from 2.7 to 65 relative to pure ice. Depending on the doping conditions and temperature of the ice film the pure ice thickness do of the ice film for which J(ev) &lt; 0.85J(ev)-(pure ice) varied between 130 and 700 nm compared to the 1000 nm thick original ice film at 208 and 191 K, respectively, in what seems to be an inverse temperature dependence. There exist three different types of H2O molecules under the present experimental conditions, namely (a) free H2O corresponding to pure ice, (b) complexed H2O or c-ice, and (c) H2O molecules originating from the breakup of NAT or amorphous H2O/HNO3 mixtures. The significant decrease of J(ev)(H2O) with increasing chi(HNO3) leads to an increase of the evaporative lifetime of atmospheric ice particles in the presence of HNO3 and may help explain the occurrence of persistent and/or large contaminated ice particles at certain atmospheric conditions.</t>
  </si>
  <si>
    <t>Ecole Polytech Fed Lausanne, LPAS, CH-1015 Lausanne, Switzerland</t>
  </si>
  <si>
    <t>Swiss Federal Institutes of Technology Domain; Ecole Polytechnique Federale de Lausanne</t>
  </si>
  <si>
    <t>Ecole Polytech Fed Lausanne, LPAS, CH-1015 Lausanne, Switzerland.</t>
  </si>
  <si>
    <t>michel.rossi@epfl.ch</t>
  </si>
  <si>
    <t>Delval, Christophe/GQP-6383-2022; ROSSI, Michel J./C-7878-2013</t>
  </si>
  <si>
    <t>Delval, Christophe/0000-0001-5999-2049; ROSSI, Michel J./0000-0003-3504-695X</t>
  </si>
  <si>
    <t>1089-5639</t>
  </si>
  <si>
    <t>J PHYS CHEM A</t>
  </si>
  <si>
    <t>J. Phys. Chem. A</t>
  </si>
  <si>
    <t>AUG 18</t>
  </si>
  <si>
    <t>10.1021/jp0505072</t>
  </si>
  <si>
    <t>954TR</t>
  </si>
  <si>
    <t>WOS:000231178300019</t>
  </si>
  <si>
    <t>Hodgson, DA; Vyverman, W; Verleyen, E; Leavitt, PR; Sabbe, K; Squier, AH; Keely, BJ</t>
  </si>
  <si>
    <t>Late Pleistocene record of elevated UV radiation in an Antarctic lake</t>
  </si>
  <si>
    <t>UV irradiance; Antarctica; late Pleistocene; ozone hole; lakes; cyanobacteria</t>
  </si>
  <si>
    <t>FOSSIL PIGMENTS; ICE; OZONE; ENVIRONMENTS; RECOVERY; IMPACT; HILLS</t>
  </si>
  <si>
    <t>Elevated ultraviolet irradiance (UVR, 280-400 nm) damages DNA and induces reorganisation within biological communities at the Earth's surface. Southern high latitude aquatic ecosystems may be particularly susceptible because of low stratospheric ozone levels and extremely low contents of photoprotective dissolved organic matter (DOM). Surveys of shallow lakes and ponds in eastern Antarctica show that cyanobacteria survive elevated UVR exposure by increasing extra-cellular concentrations of photoprotective compounds, which are preserved in sediments together with photosynthetic pigments. Thus, reconstruction of long-term changes in biological UVR receipt, to provide a context for evaluating the long-term significance of recent changes in ozone column depth, is feasible in Antarctic settings. The sediment in Lake Reid (69 degrees 23' S, 76 degrees 53' E), Antarctica, spans the late-Pleistocene and contains UVR-absorbing pigments from benthic cyanobacteria. Here we show that mean exposure of these benthic cyanobacteria to UVR during the last glacial was more than three tunes higher than during the Holocene, likely due to short periods of photosynthetic activity coinciding with relatively high UVR fluxes, or due to increased UVR transmission to the Earth's surface resulting from changes in external factors such as stratospheric ozone levels, cloud cover and surface albedo. (c) 2005 Elsevier B.V. All rights reserved.</t>
  </si>
  <si>
    <t>British Antarctic Survey, Nat Environm Res Council, Cambridge CB3 0ET, England; Univ Ghent, Dept Biol, B-9000 Ghent, Belgium; Univ York, Dept Chem, York YO10 5DD, N Yorkshire, England</t>
  </si>
  <si>
    <t>UK Research &amp; Innovation (UKRI); Natural Environment Research Council (NERC); NERC British Antarctic Survey; Ghent University; University of York - UK</t>
  </si>
  <si>
    <t>British Antarctic Survey, Nat Environm Res Council, High Cross,Madingley Rd, Cambridge CB3 0ET, England.</t>
  </si>
  <si>
    <t>Dasseville, Renaat/B-3561-2010; Leavitt, Peter R/A-1048-2013</t>
  </si>
  <si>
    <t>Leavitt, Peter R/0000-0001-9805-9307; Keely, Brendan John/0000-0002-8560-1862</t>
  </si>
  <si>
    <t>AUG 15</t>
  </si>
  <si>
    <t>10.1016/j.epsl.2005.05.023</t>
  </si>
  <si>
    <t>966UI</t>
  </si>
  <si>
    <t>WOS:000232047200015</t>
  </si>
  <si>
    <t>Reason, CJC; Jagadheesha, D</t>
  </si>
  <si>
    <t>Relationships between South Atlantic SST variability and atmospheric circulation over the South African region during austral winter</t>
  </si>
  <si>
    <t>SEA-SURFACE TEMPERATURE; RAINFALL VARIABILITY; MODEL; ANOMALIES; CLIMATE; TROUGH</t>
  </si>
  <si>
    <t>The Southwestern Cape (SWC) region of South Africa is characterized by winter rainfall brought mainly via cold fronts and by substantial interannual variability. Previous work has found evidence that the interannual variability in SWC winter rainfall may be related to sea surface temperature (SST) in the South Atlantic Ocean and to large-scale ocean-atmosphere interaction in this region. During wet winters, SST tends to be anomalously warm (cool) in the southwest Atlantic and southeast Atlantic (central South Atlantic). Atmospheric general circulation model experiments with various idealized SST anomalies in the South Atlantic are used to explore mechanisms potentially associated with the rainfall variability. The model results suggest-that the atmosphere is sensitive to subtropical-midlatitude SST anomalies in the South Atlantic during winter. Locally, there are changes to the jet position and strength, low-level relative vorticity, and convergence of moisture and latent heat flux that lead to changes in rainfall over the SWC. The model response to the SST forcing also shows large-scale anomalies in the midlatitude Southern Hemisphere circulation, namely, an Antarctic Oscillation-type mode and wavenumber-3 changes, similar to those observed during anomalous winters in the region.</t>
  </si>
  <si>
    <t>Univ Cape Town, Dept Oceanog, ZA-7701 Rondebosch, South Africa; Univ Cape Town, Dept Geog &amp; Environm Sci, ZA-7700 Rondebosch, South Africa</t>
  </si>
  <si>
    <t>University of Cape Town; University of Cape Town</t>
  </si>
  <si>
    <t>Univ Cape Town, Dept Oceanog, Private Bag, ZA-7701 Rondebosch, South Africa.</t>
  </si>
  <si>
    <t>cjr@egs.uct.ac.za</t>
  </si>
  <si>
    <t>10.1175/JCLI3474.1</t>
  </si>
  <si>
    <t>966VT</t>
  </si>
  <si>
    <t>WOS:000232051600016</t>
  </si>
  <si>
    <t>Macrì, P; Sagnotti, L; Dinarès-Turell, J; Caburlotto, A</t>
  </si>
  <si>
    <t>A composite record of Late Pleistocene relative geomagnetic paleointensity from the Wilkes Land Basin (Antarctica)</t>
  </si>
  <si>
    <t>PHYSICS OF THE EARTH AND PLANETARY INTERIORS</t>
  </si>
  <si>
    <t>pateomagnetism; relative paleointensity; geomagnetic excursions; Antarctica; Brunhes Chron</t>
  </si>
  <si>
    <t>NORTH-ATLANTIC; SEDIMENTARY RECORDS; PALEOMAGNETIC DATA; CONTINENTAL RISE; FIELD INTENSITY; CANARY-ISLANDS; LABRADOR-SEA; SHORT EVENTS; GRAIN-SIZE; MATUYAMA</t>
  </si>
  <si>
    <t>We report high-resolution paleomagnetic records obtained from six piston cores recovered on the continental rise of the Wilkes Land Basin (WLB), East Antarctica, in the frame of the Italian/Australian Wilkes Land Glacial History (WEGA) project. The studied cores, with a length of ca. 4 m each, were collected from the gentle and steep sides of sedimentary ridges present in the lower part of the continental rise, and consist of very fine-grained sediments. Palcomagnetic measurements were carried out on u-channel samples. Apart from a low-coercivity magnetic overprint, removed after the first steps of alternating field demagnetization, each core is characterized by a well defined characteristic remanent magnetization. Paleomagnetic inclinations fluctuate around the expected value (of ca. -77 degrees) for such high latitude sites and always indicate normal magnetic polarity. Short period oscillations to anomalously shallow paleomagnetic inclinations (up to -20 degrees) were identified at different levels of the sampled sequences; positive (reverse) inclination values were however not observed. Specific rock magnetic measurements indicate a substantial homogeneity of the magnetic mineralogy in the sampled sequences. For each core we reconstructed curves of relative paleointensity, (RPI) as computed by NRM20mT/K and NRM(20mT/)ARM(20mT)) variation of the geomagnetic field. An original age model was established by tuning the individual RPI curves with the available global and regional reference RPI stacks. Paleomagnetic results, supported by other limited bio- and chronostratigraphic constraints, establish that all the cores are Late Pleistocene in age: two provide an expanded record of the last ca. 30 ka (PC 18 and PC19), three span the last ca. 100, 200 and 300 ka (respectively, PC25, PC27 and PC26), and one reaches back to ca. 780 ka (PC20), approaching the Brunhes-Matuyama transition. Thus, the WEGA paleomagnetic record provides the first experimental data documenting the dynamics and amplitude of the geomagnetic field variations at high southern latitudes during the Brunhes Chron. The individual normalized RPI records were merged in a WEGA RPI stacking curve spanning the last 300 kyr. The comparison of the WEGA RPI individual and stacked curves with the global references RPI stacks shows that geomagnetic paleointensity variations, with periods longer than a few to tens kyr depending on the sedimentation rate, can be safely recognized in this sector of the peri-Antarctic margins. Furthermore, the stacking of the individual ChRM inclination records indicates that the recurrent swings to shallow paleomagnetic inclinations may be correlated to the main known geomagnetic excursions of the Brunhes Chron, supporting the validity of the age models.The reconstructed average sediment accumulation rates for the individual cores range from 0.6 to 19 cm/ka and are compatible with their position within the WLB, with the lowest rates found close to the ridge of the sedimentary drifts. Moreover, the high-resolution age models obtained in this study provide original constraints to assess chronology, rates and amplitudes of the climatic and environmental processes affecting this key area of the peri-Antarctic margins during the Late Pleistocene. (c) 2005 Elsevier B.V. All rights reserved.</t>
  </si>
  <si>
    <t>Ist Nazl Geofis &amp; Vulcanol, I-00143 Rome, Italy; Ist Nazl Oceanog &amp; Geofis Sperimentale, I-34010 Trieste, Italy</t>
  </si>
  <si>
    <t>Istituto Nazionale Geofisica e Vulcanologia (INGV); Istituto Nazionale di Oceanografia e di Geofisica Sperimentale</t>
  </si>
  <si>
    <t>Ist Nazl Geofis &amp; Vulcanol, Via Vigna Murata 605, I-00143 Rome, Italy.</t>
  </si>
  <si>
    <t>macri@ingv.it</t>
  </si>
  <si>
    <t>Dinarès-Turell, Jaume/G-2852-2011; Macrì, Patrizia/ABD-2144-2021; Sagnotti, Leonardo/AFM-3916-2022</t>
  </si>
  <si>
    <t>Dinarès-Turell, Jaume/0000-0002-5546-2291; Macrì, Patrizia/0000-0003-2287-4019; Sagnotti, Leonardo/0000-0003-3944-201X; caburlotto, andrea/0000-0001-7259-6884</t>
  </si>
  <si>
    <t>0031-9201</t>
  </si>
  <si>
    <t>1872-7395</t>
  </si>
  <si>
    <t>PHYS EARTH PLANET IN</t>
  </si>
  <si>
    <t>Phys. Earth Planet. Inter.</t>
  </si>
  <si>
    <t>10.1016/j.pepi.2005.03.004</t>
  </si>
  <si>
    <t>953LP</t>
  </si>
  <si>
    <t>WOS:000231078100004</t>
  </si>
  <si>
    <t>Ghiglione, MC; Ramos, VA</t>
  </si>
  <si>
    <t>Progression of deformation and sedimentation in the southernmost Andes</t>
  </si>
  <si>
    <t>TECTONOPHYSICS</t>
  </si>
  <si>
    <t>chronology of thrust motion; foreland basins evolution; growth strata; progressive and syntectonic angular unconformities; crustal deformation; critical taper model; clastic dikes; southernmost Andes; Fuegia Andes</t>
  </si>
  <si>
    <t>TIERRA-DEL-FUEGO; DARWIN METAMORPHIC COMPLEX; CORDILLERA-DARWIN; TECTONIC EVOLUTION; SOUTH-AMERICA; FORELAND FOLD; THRUST BELT; BACK-ARC; STRUCTURAL EVOLUTION; ANTARCTIC PENINSULA</t>
  </si>
  <si>
    <t>The chronology of thrust motion in the Fuegian thin-skinned fold-thrust belt was established using data from the Atlantic coast of Tierra del Fuego. A set of original structural-geological maps showing the distribution of structures, unconformities and synorogenic sequences in the last tip of the Andes reveals the cratonward propagation of thrusts and sedimentary depocenters. A succession of syntectonic angular and progressive unconformities occur in the studied zone: (1) an angular unconformity between Danian and Late Paleocene sequences, (2) a series of progressive and syntectonic angular unconformities developed from the Late Early Eocene to the Late Eocene, and (3) a Lower Miocene syntectonic unconformity. Additional evidence for the time-space location of the thrust-front is provided by the presence of seismically triggered sand intrusions in Late Cretaceous, Late Paleocene and Middle Miocene sequences. The integration of data shows that faulting occurred in three main episodes: San Vicente thrusting, ca. 61-55 Ma, Rio Bueno thrusting, ca. 49-34, and Punta Gruesa strike-slip event, ca. 24-16 Ma. San Vicente thrusting represents the onset of thrust propagation onto the foreland craton. The thrust-front endured a major cratonward migration through the Rio Bueno thrusting, and remained steady afterward. Punta Gruesa constitutes a strike-slip event, associated with the phase of wrench deformation that influences the southernmost Andes since the Oligocene. Although the overall pattern of faulting was progressively younger cratonward, several episodes of out-of-sequence thrusting and folding occurred. Other features in the southernmost Andes can be linked to these three deformation events to broadly characterize the behavior of the Fuegian orogenic wedge in terms of critical taper models. The Fuegian Andes underwent at least three cycles between subcritical, critical and supercritical stages of behavior in terms of deformation, erosion, and sedimentation. (c) 2005 Elsevier B.V. All rights reserved.</t>
  </si>
  <si>
    <t>Univ Buenos Aires, Fac Ciencias Exactas &amp; Nat, Lab Tecton Andina, RA-1428 Buenos Aires, DF, Argentina</t>
  </si>
  <si>
    <t>Univ Buenos Aires, Fac Ciencias Exactas &amp; Nat, Lab Tecton Andina, Ciudad Univ, RA-1428 Buenos Aires, DF, Argentina.</t>
  </si>
  <si>
    <t>mghiglione@hotmail.com</t>
  </si>
  <si>
    <t>Ramos, Victor Alberto/D-8273-2013; Ghiglione, Matias C/A-9413-2010</t>
  </si>
  <si>
    <t>Ramos, Victor A./0000-0002-2136-1345</t>
  </si>
  <si>
    <t>0040-1951</t>
  </si>
  <si>
    <t>1879-3266</t>
  </si>
  <si>
    <t>Tectonophysics</t>
  </si>
  <si>
    <t>10.1016/j.tecto.2005.05.004</t>
  </si>
  <si>
    <t>956MK</t>
  </si>
  <si>
    <t>WOS:000231303800002</t>
  </si>
  <si>
    <t>McCabe, JR; Boxe, CS; Colussi, AJ; Hoffmann, MR; Thiemens, MH</t>
  </si>
  <si>
    <t>dOxygen isotopic fractionation in the photochemistry of nitrate in water and ice</t>
  </si>
  <si>
    <t>DEPENDENT SOLUTE REDISTRIBUTION; MASS-INDEPENDENT FRACTIONATION; ANTARCTIC SNOW; ATMOSPHERIC NITRATE; NITROGEN-DIOXIDE; AQUEOUS-SOLUTION; PHASE-BOUNDARY; QUANTUM YIELDS; OXYGEN; PHOTOLYSIS</t>
  </si>
  <si>
    <t>[1] We recently reported the first multiple oxygen isotope composition of nitrate (NO3-) in ice cores ( Alexander et al., 2004). Postdepositional photolysis and volatilization may alter the isotopic signatures of snowpack nitrate. Therefore the precise assessment of the geochemical/atmospheric significance of O-isotopic signatures requires information on the relative rates of photolysis ( lambda &gt; 300 nm) of (NO3-)-O-16, (NO2O-)-O-16-O-17, and (NO2O-)-O-16-O-18 in ice. Here we report on O-17- and O-18-fractionation in the 313-nm photolysis of 10-mM aqueous solutions of normal Fisher KNO3 (i.e., Delta O-17 = - 0.2 +/- 0.2 parts per thousand) and O-17-enriched USGS-35 NaNO3 (Delta O-17 = 21.0 +/- 0.4 parts per thousand) between - 30 degrees and 25 degrees C. We found that Fisher KNO3 undergoes mass-dependent O-fractionation, i.e., a process that preserves Delta O-17 = 0. In contrast, Delta O-17 in USGS-35 NaNO3 decreased by 1.6 +/- 0.4 parts per thousand and 2.0 +/- 0.4 parts per thousand at 25 degrees C, 1.2 +/- 0.4 parts per thousand and 1.3 +/- 0.4 parts per thousand at - 5 degrees C, and 0.2 +/- 0.4 parts per thousand and 1.1 +/- 0.4 parts per thousand at - 30 degrees C, after 12 and 24 hours, respectively. Since the small quantum yield (similar to 0.2%) of NO3- photodecomposition into (NO2 + OH) is due to extensive cage recombination of the primary photofragments rather than to intramolecular processes, the observed Delta O-17 decreases likely reflect competitive O-isotope exchange of geminate OH-radicals with H2O (Delta O-17 = 0) and escape from the solvent cage, in addition to residual O-isotope mixing of the final photoproducts NO, NO2, NO2-, with H2O. At the prevailing low temperatures, photochemical processing will not impair the diagnostic value of O-isotopic signatures in tracing the chemical ancestry of nitrate in polar ice.</t>
  </si>
  <si>
    <t>Univ Calif San Diego, Dept Chem &amp; Biochem, La Jolla, CA 92093 USA; CALTECH, WM Keck ZLabs, Pasadena, CA 91125 USA</t>
  </si>
  <si>
    <t>University of California System; University of California San Diego; California Institute of Technology</t>
  </si>
  <si>
    <t>Univ Calif San Diego, Dept Chem &amp; Biochem, La Jolla, CA 92093 USA.</t>
  </si>
  <si>
    <t>jmccabe@chem.ucsd.gov</t>
  </si>
  <si>
    <t>Colussi, Agustin J./GXA-0446-2022; Colussi, Agustin J/C-6520-2008</t>
  </si>
  <si>
    <t>AUG 13</t>
  </si>
  <si>
    <t>D15</t>
  </si>
  <si>
    <t>D15310</t>
  </si>
  <si>
    <t>10.1029/2004JD005484</t>
  </si>
  <si>
    <t>957PD</t>
  </si>
  <si>
    <t>WOS:000231381700002</t>
  </si>
  <si>
    <t>Riedel, K; Allan, W; Weller, R; Schrems, O</t>
  </si>
  <si>
    <t>Discrepancies between formaldehyde measurements and methane oxidation model predictions in the Antarctic troposphere: An assessment of other possible formaldehyde sources</t>
  </si>
  <si>
    <t>MARINE BOUNDARY-LAYER; RADICAL INITIATED OXIDATION; DIMETHYL SULFIDE; NONMETHANE HYDROCARBONS; ATMOSPHERIC CHEMISTRY; ARCTIC TROPOSPHERE; HYDROGEN-PEROXIDE; SOUTHERN-OCEAN; POLAR SUNRISE; ATOM CONCENTRATIONS</t>
  </si>
  <si>
    <t>[1] Formaldehyde ( HCHO) is a key intermediate in the photooxidation of methane by hydroxyl radicals. Through its photolysis, it is also a source for free radicals in the troposphere. Owing to these reactions, HCHO influences the oxidation capacity of the atmosphere and is a suitable species to test our current understanding of atmospheric oxidation pathways. Especially in polar regions, discrepancies between measurements and model calculations exist. Though recent investigations in the Arctic suggest that HCHO emissions from the snow surface might act as the missing source, the question remains unresolved for the Antarctic. We compare year-round HCHO measurements in Antarctica with model results from a simple photochemical box model. The observed ambient HCHO mixing ratios cannot be explained by methane photooxidation alone. Inclusion of HCHO emissions from the snow surface makes the model results and measurements consistent, but significantly higher emissions than those derived in the Arctic are needed to explain the observed HCHO mixing ratios. We discuss and model other possible sources such as oxidation of dimethylsulfide (DMS), isoprene, ethene, propene, and the effect of halogens, that may be responsible for the enhanced HCHO mixing ratios in the marine Antarctic troposphere. We find that, for the largest HCHO mixing ratio measured, all potential gas-phase HCHO precursors ( including methane) are likely to generate only 20 - 40% of the required HCHO. If the remaining HCHO is produced by a flux from the snow, the flux required is 1.9 - 2.5 x 10(13) molecules m(-2) s(-1) if the boundary layer height is 40 - 50 m.</t>
  </si>
  <si>
    <t>Natl Inst Water &amp; Atmospher Res, Wellington, New Zealand; Alfred Wegener Inst Polar &amp; Marine Res, D-27570 Bremerhaven, Germany</t>
  </si>
  <si>
    <t>National Institute of Water &amp; Atmospheric Research (NIWA) - New Zealand; Helmholtz Association; Alfred Wegener Institute, Helmholtz Centre for Polar &amp; Marine Research</t>
  </si>
  <si>
    <t>Natl Inst Water &amp; Atmospher Res, Private Bag 14-901, Wellington, New Zealand.</t>
  </si>
  <si>
    <t>k.riedel@niwa.co.nz</t>
  </si>
  <si>
    <t>D15308</t>
  </si>
  <si>
    <t>10.1029/2005JD005859</t>
  </si>
  <si>
    <t>WOS:000231381700004</t>
  </si>
  <si>
    <t>Simstich, J; Harms, I; Karcher, MJ; Erlenkeuser, H; Stanovoy, V; Kodina, L; Bauch, D; Spielhagen, RF</t>
  </si>
  <si>
    <t>Recent freshening in the Kara Sea (Siberia) recorded by stable isotopes in Arctic bivalve shells</t>
  </si>
  <si>
    <t>RIVER DISCHARGE; LAPTEV SEA; INTERANNUAL VARIABILITY; BIOLOGICAL CARBONATES; SALINITY CHANGES; WATER; OXYGEN; OCEAN; MOLLUSK; ICE</t>
  </si>
  <si>
    <t>[1] Oxygen and stable carbon isotope records along the growth direction on shells of the bivalve species Astarte borealis and Serripes groenlandicus reliably record all important aspects of the bottom water hydrography in the shallow southeastern Kara Sea, despite uncertainties about the isotopic range due to sparse sampling and the possibility of growth rate changes. Changing freshwater supply from the rivers Ob and Yenisei is the main cause for seasonal temperature and salinity variations near the three sampling locations in 20 to 70 m water depth as suggested by CTD measurements and modeling. Peak winter salinity of the simulated hydrographic data series and peak winter values in the isotope records follow negative trends, which indicate a freshening of the bottom water due to an increasing fraction of river water during the 1990s. This freshening affected the whole Kara Sea, and coincided with a lowering of regional air pressure gradients, as indicated by the declining Arctic oscillation index. The resulting weakening of the prevailing southwesterly winds diminished the inflow of saline Atlantic-derived water from the Barents Sea through the Kara Strait in the southwest, and, additionally, reduced the export of river water toward the north and northeast into the Arctic basin. Saline Atlantic-derived water thus was replaced by freshwater, which was successively accumulated in the Kara Sea and accordingly imprinted on the stable isotope composition of the bivalve shells. The 1990s freshening in the Kara Sea thus may be caused by natural variations rather than being a signal for global change.</t>
  </si>
  <si>
    <t>Univ Cambridge, Dept Earth Sci, Cambridge CB2 3EQ, England; IFM, GEOMAR, Leibniz Inst Marine Sci, D-24148 Kiel, Germany; Univ Kiel, Leibniz Lab Radiometr Dating &amp; Stable Isotope Res, D-24118 Kiel, Germany; Univ Hamburg, Inst Oceanog, D-22146 Hamburg, Germany; Alfred Wegener Inst Polar &amp; Marine Res, D-27568 Bremerhaven, Germany; RAS, VI Vernadskii Inst Geochem &amp; Analyt Chem, Moscow 117975, Russia; Arctic &amp; Antarctic Res Inst, St Petersburg 199397, Russia; Acad Sci Human &amp; Literature, Mainz, Germany; OASys Ocean Atmosphere Syst GbR, Hamburg, Germany</t>
  </si>
  <si>
    <t>University of Cambridge; Helmholtz Association; GEOMAR Helmholtz Center for Ocean Research Kiel; University of Kiel; University of Hamburg; Helmholtz Association; Alfred Wegener Institute, Helmholtz Centre for Polar &amp; Marine Research; Russian Academy of Sciences; Vernadsky Institute of Geochemistry &amp; Analytical Chemistry; Arctic &amp; Antarctic Research Institute</t>
  </si>
  <si>
    <t>Univ Cambridge, Dept Earth Sci, Downing St, Cambridge CB2 3EQ, England.</t>
  </si>
  <si>
    <t>jsim03@esc.cam.ac.uk; harms@ifm.uni-hamburg.de; mkarcher@awi-bremerhaven.de; herlenkeuser@leibniz.uni-kiel.de; stanovoy@lens.spb.ru; kodina@geokhi.ru; dbauch@ifm-geomar.de; rspielhagen@ifm-geomar.de</t>
  </si>
  <si>
    <t>Spielhagen, Robert F./HMD-2002-2023</t>
  </si>
  <si>
    <t>Karcher, Michael/0000-0002-9587-811X; Bauch, Dorothea/0000-0002-1419-9714</t>
  </si>
  <si>
    <t>C8</t>
  </si>
  <si>
    <t>C08006</t>
  </si>
  <si>
    <t>10.1029/2004JC002722</t>
  </si>
  <si>
    <t>957PI</t>
  </si>
  <si>
    <t>WOS:000231382300001</t>
  </si>
  <si>
    <t>von Clarmann, T; Glatthor, N; Höpfner, M; Kellmann, S; Ruhnke, R; Stiller, GP; Fischer, H; Funke, B; Gil-López, S; López-Puertas, M</t>
  </si>
  <si>
    <t>Experimental evidence of perturbed odd hydrogen and chlorine chemistry after the October 2003 solar proton events -: art. no. A09S45</t>
  </si>
  <si>
    <t>MIDDLE ATMOSPHERE; CONSTITUENTS; PROFILES; OZONE; MODEL</t>
  </si>
  <si>
    <t>[1] Time series of stratospheric ClO and HOCl have been measured with the Michelson Interferometer for Passive Atmospheric Sounding (MIPAS) on board the Environmental Satellite (ENVISAT) during the solar storm episode in October/November 2003. A remarkable enhancement of ClO mean values ( averaged over latitudes poleward from 70 degrees N) was found, reaching values of more than 0.2 ppbv and even 0.4 ppbv when only nighttime measurements are considered. HOCl was found to increase by up to more than 0.3 ppbv at altitudes above 32 km. This gives indirect proof of enhanced odd hydrogen abundances as a consequence of the solar proton events between 27 and 31 October 2003. Simultaneous increase of both ClO and HOCl hints at HCl destruction either through OH or directly via ion cluster chemistry. When HOCl and ClO mixing ratios decreased, most probably due to then lowered odd hydrogen abundances, large amounts of ClONO2 ( polar cap averages enhanced by up to 0.4 ppbv) in early November indicate that ClO then was buffered in this reservoir. Daytime Antarctic ClO enhancements reach 0.2 ppbv and are largest above approximately 40 km. The largest response of Antarctic nighttime ClO is seen at 35 km altitude, where the enhancement reaches 0.3 ppbv. HOCl enhancement in the southern stratosphere was weaker by approximately a factor of two compared with the northern counterpart. The most prominent HOCl increase in the southern stratosphere was observed in subpolar regions between 60 degrees S and 70 degrees S.</t>
  </si>
  <si>
    <t>Forschungszentrum Karlsruhe, Inst Meteorol &amp; Klimaforsch, D-76021 Karlsruhe, Germany; Inst Astrofis Andalucia, Consejo Super Invest Cient, E-18080 Granada, Spain</t>
  </si>
  <si>
    <t>Helmholtz Association; Karlsruhe Institute of Technology; Consejo Superior de Investigaciones Cientificas (CSIC); CSIC - Instituto de Astrofisica de Andalucia (IAA)</t>
  </si>
  <si>
    <t>Forschungszentrum Karlsruhe, Inst Meteorol &amp; Klimaforsch, Postfach 3640, D-76021 Karlsruhe, Germany.</t>
  </si>
  <si>
    <t>thomas.clarmann@imk.fzk.de; bernd@iaa.es</t>
  </si>
  <si>
    <t>Ruhnke, Roland/J-8800-2012; Stiller, Gabriele P./A-7340-2013; von Clarmann, Thomas/A-7287-2013; Glatthor, Norbert/B-2141-2013; Lopez-Puertas, Manuel/M-8219-2013; Funke, Bernd/C-2162-2008; Hopfner, Michael/A-7255-2013</t>
  </si>
  <si>
    <t>Ruhnke, Roland/0000-0002-0353-1603; Stiller, Gabriele P./0000-0003-2883-6873; Lopez-Puertas, Manuel/0000-0003-2941-7734; Funke, Bernd/0000-0003-0462-4702; Gil-Lopez, Sergio/0000-0002-3867-5439; Hopfner, Michael/0000-0002-4174-9531; von Clarmann, Thomas/0000-0003-2219-3379; Gil-Lopez, Sergio/0000-0001-5584-345X</t>
  </si>
  <si>
    <t>A09S45</t>
  </si>
  <si>
    <t>10.1029/2005JA011053</t>
  </si>
  <si>
    <t>957PU</t>
  </si>
  <si>
    <t>WOS:000231383800003</t>
  </si>
  <si>
    <t>Dameris, M; Grewe, V; Ponater, M; Deckert, R; Eyring, V; Mager, F; Matthes, S; Schnadt, C; Stenke, A; Steil, B; Brühl, C; Giorgetta, MA</t>
  </si>
  <si>
    <t>Long-term changes and variability in a transient simulation with a chemistry-climate model employing realistic forcing</t>
  </si>
  <si>
    <t>QUASI-BIENNIAL OSCILLATION; STRATOSPHERIC WATER-VAPOR; GENERAL-CIRCULATION MODEL; NORTHERN-HEMISPHERE; TOTAL OZONE; INTERACTIVE CHEMISTRY; VOLCANIC-ERUPTIONS; MIDDLE ATMOSPHERE; INTERANNUAL CHANGES; TEMPERATURE-CHANGES</t>
  </si>
  <si>
    <t>A transient simulation with the interactively coupled chemistry-climate model (CCM) E39/C has been carried out which covers the 40-year period between 1960 and 1999. Forcing of natural and anthropogenic origin is prescribed where the characteristics are sufficiently well known and the typical timescales are slow compared to synoptic timescale so that the simulated atmospheric chemistry and climate evolve under a slowly varying external forcing. Based on observations, sea surface temperature (SST) and ice cover are prescribed. The increase of greenhouse gas and chlorofluorocarbon concentrations, as well as nitrogen oxide emissions are taken into account. The 11-year solar cycle is considered in the calculation of heating rates and photolysis of chemical species. The three major volcanic eruptions during that time (Agung, 1963; El Chichon, 1982; Pinatubo, 1991) are considered. The quasi-biennial oscillation (QBO) is forced by linear relaxation, also known as nudging, of the equatorial zonal wind in the lower stratosphere towards observed zonal wind profiles. Beyond a reasonable reproduction of mean parameters and long-term variability characteristics there are many apparent features of episodic similarities between simulation and observation: In the years 1986 and 1988 the Antarctic ozone holes are smaller than in the other years of that decade. In mid-latitudes of the Southern Hemisphere ozone anomalies resemble the corresponding observations, especially in 1985, 1989, 1991/1992, and 1996. In the Northern Hemisphere, the episode between the late 1980s and the first half of the 1990s is dynamically quiet, in particular, no stratospheric warming is found between 1988 and 1993. As observed, volcanic eruptions strongly influence dynamics and chemistry, though only for few years. Obviously, planetary wave activity is strongly driven by the prescribed SST and modulated by the QBO. Preliminary evidence of realistic cause and effect relationships strongly suggests that detailed process-oriented studies will be a worthwhile endeavour.</t>
  </si>
  <si>
    <t>DLR Oberpfaffenhofen, Inst Phys Atmosphare, Wessling, Germany; Max Planck Inst Chem, D-55128 Mainz, Germany; Max Planck Inst Meteorol, Hamburg, Germany</t>
  </si>
  <si>
    <t>Helmholtz Association; German Aerospace Centre (DLR); Max Planck Society; Max Planck Society</t>
  </si>
  <si>
    <t>DLR Oberpfaffenhofen, Inst Phys Atmosphare, Wessling, Germany.</t>
  </si>
  <si>
    <t>Martin.Dameris@dlr.de</t>
  </si>
  <si>
    <t>Stenke, Andrea/GYJ-6299-2022; Eyring, Veronika/O-9999-2016; Grewe, Volker/A-6147-2011; Ponater, Michael/AAQ-4907-2020; Grewe, Volker/JCE-0830-2023</t>
  </si>
  <si>
    <t>Eyring, Veronika/0000-0002-6887-4885; Grewe, Volker/0000-0002-8012-6783; Ponater, Michael/0000-0002-9771-4733; Stenke, Andrea/0000-0002-5916-4013; Dameris, Martin/0000-0001-6700-0628; Schnadt Poberaj, Christina/0009-0007-6283-1044; Giorgetta, Marco/0000-0002-4278-1963</t>
  </si>
  <si>
    <t>AUG 11</t>
  </si>
  <si>
    <t>10.5194/acp-5-2121-2005</t>
  </si>
  <si>
    <t>954LP</t>
  </si>
  <si>
    <t>Green Published, gold, Green Accepted</t>
  </si>
  <si>
    <t>WOS:000231156900002</t>
  </si>
  <si>
    <t>Bhandari, SM; Vyas, NK; Dash, M; Khanolkar, A; Sharma, N; Khare, N; Pandey, PC</t>
  </si>
  <si>
    <t>Simultaneous MSMR and SSM/I observations and analysis of sea-ice characteristics over the Antarctic region</t>
  </si>
  <si>
    <t>SCANNING MICROWAVE RADIOMETER; TRENDS; CALIBRATION</t>
  </si>
  <si>
    <t>Polar sea ice has been monitored quasi-continuously over the last 30 years using passive microwave radiometers onboard three satellites in polar orbit, namely Nimbus-5, Nimbus-7 and Defense Meteorological Satellite Program (DMSP) series. A short overlap between Scanning Multichannel Microwave Radiometer (SMMR) on Nimbus-7 and Special Sensor Microwave Imager (SSM/I) onboard DMSP allowed inter-calibration of the two sensors leading to a consistent series of long-term sea-ice measurements since 1978. With the launch of Multifirequency Scanning Microwave Radiometer (MSMR) onboard OCEANSAT-1 in the polar sun-synchronous orbit during 1999, India developed the capability to monitor the polar sea ice on a regular basis. The concurrent availability of SSM/I and MSMR over the last few years presents a valuable opportunity to attempt an inter-comparison of MSMR with SSM/I measurements and derived sea-ice parameters. In this paper, we present an indirect validation of the brightness temperatures (T-b) observed by MSMR with near-simultaneous measurements from SSM/I over the Antarctic and Southern Polar Ocean regions. Simultaneous MSMR and SSM/I data from two contrasting seasons-summer and winter-for the 19992000 period have been used. Analysis includes a comparison of T-b scatterograms to achieve confidence in the quantitative use of the T-b data to derive various geophysical parameters, e.g. sea-ice concentration and extent. Additionally, the T-b images produced by the two sensors are compared to establish the capability of MSMR in reliable two-dimensional portrayal of all the sea and continental ice features over the Antarctic Region. Based on a regression analysis between MSMR observed T-b in different frequency channels and polarizations, and SSM/I-clerived sea-ice concentration (SIC) values, we have developed algorithms to estimate SIC over the Southern Polar Ocean from MSMR data. The MSMR algorithms allow estimation of SIC with better than 10% rms error. MSMR SIC images faithfully capture the observed distribution of sea ice in all the sectors of the Southern Ocean both during summer and winter periods. Using the MSMR-derived SIC, we have also derived monthly sea-ice extent (SIE) estimates for a period extending for about 20 months from the beginning of the launch of MSMR. These estimates show excellent agreement with values derived from SSM/I. These analyses bring out the very high level of compatibility in the measurements and derived sea-ice parameters produced by the two sensors.</t>
  </si>
  <si>
    <t>ISRO, Ctr Space Applicat, Ahmadabad 380053, Gujarat, India; DOD, Natl Ctr Antarct &amp; Ocean Res, Goa, India</t>
  </si>
  <si>
    <t>Department of Space (DoS), Government of India; Indian Space Research Organisation (ISRO); Space Applications Centre (SAC); Ministry of Earth Sciences (MoES) - India; National Centre for Polar and Ocean Research (NCPOR)</t>
  </si>
  <si>
    <t>Bhandari, SM (corresponding author), ISRO, Ctr Space Applicat, Ahmadabad 380053, Gujarat, India.</t>
  </si>
  <si>
    <t>scientist_space@yahoo.com</t>
  </si>
  <si>
    <t>AUG 10</t>
  </si>
  <si>
    <t>10.1080/01431160500104376</t>
  </si>
  <si>
    <t>959SN</t>
  </si>
  <si>
    <t>WOS:000231539700001</t>
  </si>
  <si>
    <t>Maturilli, M; Neuber, R; Massoli, P; Cairo, F; Adriani, A; Moriconi, ML; Di Donfrancesco, G</t>
  </si>
  <si>
    <t>Differences in Arctic and Antarctic PSC occurrence as observed by lidar in Ny-Alesund (79° N, 12° E) and McMurdo (78° S, 167° E)</t>
  </si>
  <si>
    <t>POLAR STRATOSPHERIC CLOUDS; NITRIC-ACID TRIHYDRATE; OZONE DEPLETION; DUMONT DURVILLE; DENITRIFICATION; DEHYDRATION; LIQUID; WINTER; CLIMATOLOGY; COEXISTENCE</t>
  </si>
  <si>
    <t>The extent of springtime Arctic ozone loss does not reach Antarctic ozone hole dimensions because of the generally higher temperatures in the northern hemisphere vortex and consequent less polar stratospheric cloud (PSC) particle surface for heterogeneous chlorine activation. Yet, with increasing greenhouse gases stratospheric temperatures are expected to further decrease. To infer if present Antarctic PSC occurrence can be applied to predict future Arctic PSC occurrence, lidar observations from McMurdo station (78 degrees S, 167 degrees E) and NyAlesund ( 79 degrees N, 12 degrees E) have been analysed for the 9 winters between 1995 (1995/1996) and 2003 (2003/2004). Although the statistics may not completely cover the overall hemispheric PSC occurrence, the observations are considered to represent the main synoptic cloud features as both stations are mostly situated in the centre or at the inner edge of the vortex. Since the focus is set on the occurrence frequency of solid and liquid particles, the analysis has been restricted to volcanic aerosol free conditions. In McMurdo, by far the largest part of PSC observations is associated with NAT PSCs. The observed persistent background of NAT particles and their potential ability to cause denoxification and irreversible denitrification is presumably more important to Antarctic ozone chemistry than the scarcely observed ice PSCs. Meanwhile in Ny-Alesund, ice PSCs have never been observed, while solid NAT and liquid STS clouds both occur in large fraction. Although they are also found solely, the majority of observations reveals solid and liquid particle layers in the same profile. For the Ny-Alesund measurements, the frequent occurrence of liquid PSC particles yields major significance in terms of ozone chemistry, as their chlorine activation rates are more efficient. The relationship between temperature, PSC formation, and denitrification is nonlinear and the McMurdo and NyAlesund PSC observations imply that for predicted stratospheric cooling it is not possible to directly apply current Antarctic PSC occurrence to the Arctic stratosphere. Future Arctic PSC occurrence, and thus ozone loss, is likely to depend on the shape and barotropy of the vortex rather than on minimum temperature alone.</t>
  </si>
  <si>
    <t>Alfred Wegener Inst Polar &amp; Marine Res, D-14473 Potsdam, Germany; CNR, Inst Atmospher Sci &amp; Climate, I-00133 Rome, Italy; ENEA CR Cassaccia, Italian Natl Agcy New Technol Energy &amp; Environm, I-00060 Rome, Italy</t>
  </si>
  <si>
    <t>Helmholtz Association; Alfred Wegener Institute, Helmholtz Centre for Polar &amp; Marine Research; Consiglio Nazionale delle Ricerche (CNR); Istituto di Scienze dell'Atmosfera e del Clima (ISAC-CNR); Italian National Agency New Technical Energy &amp; Sustainable Economics Development</t>
  </si>
  <si>
    <t>Alfred Wegener Inst Polar &amp; Marine Res, Telegrafenberg A45, D-14473 Potsdam, Germany.</t>
  </si>
  <si>
    <t>mmaturilli@awi-potsdam.de</t>
  </si>
  <si>
    <t>; moriconi, maria luisa/B-7201-2009; cairo, francesco/C-7460-2015; Neuber, Roland/B-4923-2014; Maturilli, Marion/A-4344-2017</t>
  </si>
  <si>
    <t>Adriani, Alberto/0000-0003-4998-8008; moriconi, maria luisa/0000-0003-2609-2620; cairo, francesco/0000-0002-2886-2601; Neuber, Roland/0000-0001-7382-7832; Maturilli, Marion/0000-0001-6818-7383</t>
  </si>
  <si>
    <t>AUG 9</t>
  </si>
  <si>
    <t>10.5194/acp-5-2081-2005</t>
  </si>
  <si>
    <t>954LN</t>
  </si>
  <si>
    <t>Green Submitted, Green Published, gold</t>
  </si>
  <si>
    <t>WOS:000231156700001</t>
  </si>
  <si>
    <t>Cook, CE</t>
  </si>
  <si>
    <t>The complete mitochondrial genome of the stomatopod crustacean Squilla mantis -: art. no. 105</t>
  </si>
  <si>
    <t>BMC GENOMICS</t>
  </si>
  <si>
    <t>DNA SEQUENCE; CENTIPEDE SCUTIGERA; JAPONICUS CRUSTACEA; RNA GENES; SUGGEST; REARRANGEMENTS; ARRANGEMENT; DROSOPHILA; DECAPODA; INSECTS</t>
  </si>
  <si>
    <t>Background: Animal mitochondrial genomes are physically separate from the much larger nuclear genomes and have proven useful both for phylogenetic studies and for understanding genome evolution. Within the phylum Arthropoda the subphylum Crustacea includes over 50,000 named species with immense variation in body plans and habitats, yet only 23 complete mitochondrial genomes are available from this subphylum. Results: I describe here the complete mitochondrial genome of the crustacean Squilla mantis ( Crustacea: Malacostraca: Stomatopoda). This 15994-nucleotide genome, the first described from a hoplocarid, contains the standard complement of 13 protein-coding genes, 22 transfer RNA genes, two ribosomal RNA genes, and a non-coding AT-rich region that is found in most other metazoans. The gene order is identical to that considered ancestral for hexapods and crustaceans. The 70% AT base composition is within the range described for other arthropods. A single unusual feature of the genome is a 230 nucleotide non-coding region between a serine transfer RNA and the nad1 gene, which has no apparent function. I also compare gene order, nucleotide composition, and codon usage of the S. mantis genome and eight other malacostracan crustaceans. A translocation of the histidine transfer RNA gene is shared by three taxa in the order Decapoda, infraorder Brachyura; Callinectes sapidus, Portunus trituberculatus and Pseudocarcinus gigas. This translocation may be diagnostic for the Brachyura. For all nine taxa nucleotide composition is biased towards AT-richness, as expected for arthropods, and is within the range reported for other arthropods. Codon usage is biased, and much of this bias is probably due to the skew in nucleotide composition towards AT-richness. Conclusion: The mitochondrial genome of Squilla mantis contains one unusual feature, a 230 base pair non-coding region has so far not been described in any other malacostracan. Comparisons with other Malacostraca show that all nine genomes, like most other mitochondrial genomes, share a bias toward AT-richness and a related bias in codon usage. The nine malacostracans included in this analysis are not representative of the diversity of the class Malacostraca, and additional malacostracan sequences would surely reveal other unusual genomic features that could be useful in understanding mitochondrial evolution in this taxon.</t>
  </si>
  <si>
    <t>Univ Cambridge, Dept Zool, Cambridge CB2 3EJ, England; Univ Cambridge, Museum Zool, Cambridge CB2 3EJ, England; British Antarctic Survey, NERC, Div Biol Sci, Cambridge CB3 0ET, England</t>
  </si>
  <si>
    <t>University of Cambridge; University of Cambridge; UK Research &amp; Innovation (UKRI); Natural Environment Research Council (NERC); NERC British Antarctic Survey</t>
  </si>
  <si>
    <t>Cook, CE (corresponding author), Univ Cambridge, Dept Zool, Downing St, Cambridge CB2 3EJ, England.</t>
  </si>
  <si>
    <t>cecook@alum.exeter.edu</t>
  </si>
  <si>
    <t>Cook, Charles E/0000-0002-4145-8048</t>
  </si>
  <si>
    <t>BIOMED CENTRAL LTD</t>
  </si>
  <si>
    <t>236 GRAYS INN RD, FLOOR 6, LONDON WC1X 8HL, ENGLAND</t>
  </si>
  <si>
    <t>1471-2164</t>
  </si>
  <si>
    <t>BMC Genomics</t>
  </si>
  <si>
    <t>10.1186/1471-2164-6-105</t>
  </si>
  <si>
    <t>Biotechnology &amp; Applied Microbiology; Genetics &amp; Heredity</t>
  </si>
  <si>
    <t>962LX</t>
  </si>
  <si>
    <t>Green Accepted, Green Published, gold</t>
  </si>
  <si>
    <t>WOS:000231735400001</t>
  </si>
  <si>
    <t>Reeves, CE; Sturges, WT; Sturrock, GA; Preston, K; Oram, DE; Schwander, J; Mulvaney, R; Barnola, JM; Chappellaz, J</t>
  </si>
  <si>
    <t>Trends of halon gases in polar firn air: implications for their emission distributions</t>
  </si>
  <si>
    <t>ATMOSPHERIC HYDROXYL; GLOBAL DISTRIBUTION; METHYL CHLOROFORM; BROMINE; HALOCARBONS; TROPOSPHERE; TRANSPORT; HISTORY; RECORD; MODEL</t>
  </si>
  <si>
    <t>Four halons (H-1301, H-1211, H-2402 and H-1202) have been measured in air samples collected from polar firn from Dome Concordia ( Dome C), Antarctica, from Devon Island, Canada and the North Greenland Ice Core Project (NGRIP) site, Greenland. H-2402 and H-1202 are reported for the first time in firn air. The depth profiles show the concentrations of all four halons to be close to zero (i.e. below the detection limit of 0.001 ppt) at the base of the firn thus demonstrating their entirely anthropogenic origin. This is the first evidence of this for H-2402 and H-1202. A 2-D atmospheric model was run with emissions previously derived using archive air measurements from the southern hemisphere mid-latitudes to produce historical trends in atmospheric concentrations at the firn sites, which were then input into a firn diffusion model to produce concentration depth profiles for comparison with the firn measurements. This comparison provides an evaluation of the model-derived atmospheric concentration histories in both hemispheres and thus an indirect evaluation of the emission rates and distributions used in the atmospheric model. Atmospheric concentration trends produced using global emissions previously determined from measurements at Cape Grim are found to be consistent with the firn data from the southern hemisphere. Further emissions of H-1202 in recent years ( late 1980s onwards) are likely to have come from latitudes mostly south of 40 degrees N, but emissions prior to that may have come from further north. Emissions of H-1211 may also have shifted to latitudes south of 40 degrees N during the late 1980s. Following comparison of the atmospheric model output with the firn data, modelled atmospheric trends of total organic bromine in the form of halons were derived for both polar regions.</t>
  </si>
  <si>
    <t>Univ E Anglia, Sch Environm Sci, Norwich NR4 7TJ, Norfolk, England; Univ Bern, Inst Phys, Bern, Switzerland; NERC, British Antarctic Survey, Cambridge, England; CNRS, Lab Glaciol &amp; Geophys Environm, St Martin Dheres, France</t>
  </si>
  <si>
    <t>University of East Anglia; University of Bern; UK Research &amp; Innovation (UKRI); Natural Environment Research Council (NERC); NERC British Antarctic Survey; Centre National de la Recherche Scientifique (CNRS)</t>
  </si>
  <si>
    <t>Reeves, CE (corresponding author), Univ E Anglia, Sch Environm Sci, Norwich NR4 7TJ, Norfolk, England.</t>
  </si>
  <si>
    <t>c.reeves@uea.ac.uk</t>
  </si>
  <si>
    <t>Chappellaz, Jérôme A./A-4872-2011; Mulvaney, Robert/K-3929-2012</t>
  </si>
  <si>
    <t>Mulvaney, Robert/0000-0002-5372-8148</t>
  </si>
  <si>
    <t>EUROPEAN GEOSCIENCES UNION</t>
  </si>
  <si>
    <t>KATLENBURG-LINDAU</t>
  </si>
  <si>
    <t>MAX-PLANCK-STR 13, 37191 KATLENBURG-LINDAU, GERMANY</t>
  </si>
  <si>
    <t>AUG 8</t>
  </si>
  <si>
    <t>10.5194/acp-5-2055-2005</t>
  </si>
  <si>
    <t>954LJ</t>
  </si>
  <si>
    <t>WOS:000231156300002</t>
  </si>
  <si>
    <t>Fairhead, VA; Amsler, CD; McClintock, JB; Baker, BJ</t>
  </si>
  <si>
    <t>Within-thallus variation in chemical and physical defences in two species of ecologically dominant brown macroalgae from the Antarctic Peninsula</t>
  </si>
  <si>
    <t>Antarctica; amphipod; chemical defence; Desmarestia; optimal defence theory; within-thallus variation</t>
  </si>
  <si>
    <t>KING GEORGE ISLAND; FOOD CHOICE; INTRASPECIFIC VARIATION; FEEDING PREFERENCES; PLANT VARIATION; KELP; BIOMASS; ALLOCATION; INDUCTION; AMPHIPOD</t>
  </si>
  <si>
    <t>Macroalgae along the Antarctic Peninsula are generally unpalatable to sympatric herbivores. This is particularly true of the large, brown macroalgae that dominate the communities in terms of cover and biomass. Variation within and between individuals of the ecologically dominant genus Desmarestia has also been detected. In the present study, we examined within thallus variation of both chemical (palatability) and physical (toughness) defences in Desmarestia anceps and Desmarestia menziesii. Each species. was divided into the holdfast, the primary stem, and the lateral branches, with tissue fitness values assigned to each component. Lipophilic and hydrophilic extracts were obtained from each thallus component and incorporated into artificial alginate foods. A series of bioassays tested the palatability of these foods to the sympatric, herbivorous amphipod Gondogeneia antarctica. Toughness measurements were also performed on each thallus component. Results from D. anceps, a highly differentiated species, were consistent with the Optimal Defence Theory (ODT) in that the most valuable tissue component (the primary stem) was the most strongly chemically and physically defended. The holdfast, also with a high tissue fitness value, was strongly physically defended. Laterals, which are replaceable and assigned a lower fitness value, were moderately chemically defended. No significant differences were detected in the palatability of the differing thallus parts in D. menziesii, although the holdfast and primary stem were tougher than the lateral branches. These results remain consistent with the ODT as D. menziesii displays less differentiation between the primary stem and the lateral branches and were assigned a similar fitness value. (c) 2005 Elsevier B.V. All rights reserved.</t>
  </si>
  <si>
    <t>Univ Alabama Birmingham, Dept Biol, Birmingham, AL 35294 USA; Univ S Florida, Dept Chem, Tampa, FL 33620 USA</t>
  </si>
  <si>
    <t>Univ Alabama Birmingham, Dept Biol, 1530 3rd Ave Sth,Campbell Hall 103, Birmingham, AL 35294 USA.</t>
  </si>
  <si>
    <t>annefairhead@yahoo.com.au</t>
  </si>
  <si>
    <t>Amsler, Charles/0000-0002-4843-3759</t>
  </si>
  <si>
    <t>10.1016/j.jembe.2005.01.010</t>
  </si>
  <si>
    <t>954KK</t>
  </si>
  <si>
    <t>WOS:000231153800001</t>
  </si>
  <si>
    <t>Powell, SA; Snape, I; Bowman, JP; Thompson, BAW; Stark, JS; McCammon, SA; Riddle, MJ</t>
  </si>
  <si>
    <t>A comparison of the short term effects of diesel fuel and lubricant oils on Antarctic benthic microbial communities</t>
  </si>
  <si>
    <t>Antarctic benthic microbiology; biodegradable oil; diesel; lubricant oil</t>
  </si>
  <si>
    <t>ARCTIC MARINE-SEDIMENTS; CRUDE-OIL; PETROLEUM HYDROCARBON; BIODEGRADATION; DEGRADATION; CONTAMINATION; ASSEMBLAGES; BACTERIA; FIELD; METAL</t>
  </si>
  <si>
    <t>The effects of diesel fuel and three lubricating oils on microbial communities in marine sediment were investigated in a field experiment at Casey Station, Antarctica. Sediment from a pristine site in Antarctica was treated with either Special Antarctic Blend (SAB) diesel, a synthetic lubricant (Mobil 0W-40), the same lubricant after use in a vehicle or an equivalent unused biodegradable lubricant (Titan GT1). The sediment was re-deployed in trays on the seabed for 5 weeks during the austral summer. The microbial community structure in the sediment upon collection, deployment and retrieval was investigated using denaturing gradient gel electrophoresis (DGGE), most probable number (MPN) counts and direct microscopic counting. It was found that only minor changes occurred in the microbial communities due to the experimental protocol. After 5 weeks however, there were significant differences between the communities in the SAB and clean and used lubricant (Mobil 0W-40) as compared to the control treatment. There was no significant difference between the control and biodegradable oil (Titan GT1) treatment. These results indicate that SAB and synthetic lubricants have a measurable effect on sediment microbial communities in the short-term. The biodegradable oil did not produce such an effect and we conclude that the use of such an oil could reduce the risks associated with oil spills in the Antarctic environment. (c) 2005 Elsevier B.V. All rights reserved.</t>
  </si>
  <si>
    <t>Univ Tasmania, Sch Agr Sci, Private Bag 54, Hobart, Tas 7001, Australia.</t>
  </si>
  <si>
    <t>Stark, Jonathan/ABF-4025-2020; Bowman, John P./ABF-5108-2020; Powell, Shane M/C-2391-2014; Bowman, John P/C-2414-2014</t>
  </si>
  <si>
    <t>Stark, Jonathan/0000-0002-4268-8072; Bowman, John P./0000-0002-4528-9333; Bowman, John P/0000-0002-4528-9333; Powell, Shane/0000-0001-5082-1630</t>
  </si>
  <si>
    <t>10.1016/j.jembe.2005.02.005</t>
  </si>
  <si>
    <t>WOS:000231153800005</t>
  </si>
  <si>
    <t>Alvarez-Manzaneda, EJ; Chahboun, R; Barranco, I; Torres, EC; Alvarez, E; Alvarez-Manzaneda, R</t>
  </si>
  <si>
    <t>First enantiospecific synthesis of marine nor-sesquiterpene (+)-austrodoral from (-)-sclareol</t>
  </si>
  <si>
    <t>TETRAHEDRON LETTERS</t>
  </si>
  <si>
    <t>terpenes; marine metabolites; enantiospecific synthesis; pinacol rearrangement; triphenylphosphine; iodine</t>
  </si>
  <si>
    <t>ASPERGILLUS-ORYZAE; ACID</t>
  </si>
  <si>
    <t>A short and efficient synthesis of the rearranged nor-sesquiterpenes (+)-austrodoral (1) and (+)-austrodoric acid (2), recently isolated from the Antarctic marine mollusk Austrodoris kerguelcnensis, from diterpene (-)-selareol (4) is reported. The key step of the sequence is the pinacol rearrangement of the drimanetriol 11. (c) 2005 Elsevier Ltd. All rights reserved.</t>
  </si>
  <si>
    <t>Univ Granada, Fac Ciencias, Dept Quim Organ, Inst Biotecnol, E-18071 Granada, Spain; Univ Almeria, Fac Ciencias, Dept Quim Organ, Almeria 04120, Spain</t>
  </si>
  <si>
    <t>University of Granada; Universidad de Almeria</t>
  </si>
  <si>
    <t>Alvarez-Manzaneda, EJ (corresponding author), Univ Granada, Fac Ciencias, Dept Quim Organ, Inst Biotecnol, E-18071 Granada, Spain.</t>
  </si>
  <si>
    <t>eamr@ugr.es</t>
  </si>
  <si>
    <t>Roldán, Ramón Jesús Álvarez-Manzaneda/AAA-5765-2019; Alvarez-Manzaneda, Enrique/Q-4429-2016; CHAHBOUN, RACHID/AAA-7861-2019</t>
  </si>
  <si>
    <t>Roldán, Ramón Jesús Álvarez-Manzaneda/0000-0001-6802-2394; Alvarez-Manzaneda, Enrique/0000-0002-3659-4475; CHAHBOUN, RACHID/0000-0001-5303-1183</t>
  </si>
  <si>
    <t>0040-4039</t>
  </si>
  <si>
    <t>TETRAHEDRON LETT</t>
  </si>
  <si>
    <t>Tetrahedron Lett.</t>
  </si>
  <si>
    <t>10.1016/j.tetlet.2005.06.010</t>
  </si>
  <si>
    <t>Chemistry, Organic</t>
  </si>
  <si>
    <t>Science Citation Index Expanded (SCI-EXPANDED); Index Chemicus (IC); Current Chemical Reactions (CCR-EXPANDED)</t>
  </si>
  <si>
    <t>947ZN</t>
  </si>
  <si>
    <t>WOS:000230685900017</t>
  </si>
  <si>
    <t>Azeem, SMI; Talaat, ER; Sivjee, GG; Liu, HL; Roble, RG</t>
  </si>
  <si>
    <t>Observational study of the 4-day wave in the mesosphere preceding the sudden stratospheric warming events during 1995 and 2002</t>
  </si>
  <si>
    <t>INSTABILITY; AIRGLOW; MOTIONS; MODEL</t>
  </si>
  <si>
    <t>We have examined the Michelson Interferometer (MI) OH airglow measurements at the South Pole Station and the National Center for Environment Prediction (NCEP) temperatures to investigate the dynamical effects of sudden stratospheric warming (SSW) events on the Antarctic mesosphere and stratosphere. Comparisons of stratospheric and mesospheric temperatures at the South Pole during the 1995 and 2002 observing seasons show evidence of mesospheric cooling preceding the SSW events. Spectral analyses of South Pole OH air glow brightness measurements from the 1995 and 2002 observing season and NCEP stratospheric temperatures show amplification of the 4-day wave planetary wave before the start of the mesospheric cooling trend, the latter preceding the onset of SSW event. A similar behavior of planetary wave is also seen in the stratosphere where the 4-day wave is seen to grow in amplitude just before the peak of the sudden increase in temperatures.</t>
  </si>
  <si>
    <t>Embry Riddle Aeronaut Univ, Dept Phys Sci, Daytona Beach, FL 32114 USA; Johns Hopkins Univ, Appl Phys Lab, Laurel, MD 20723 USA; Natl Ctr Atmospher Res, High Altitude Observ, Natl Ctr Atmospher Res, Boulder, CO 80307 USA</t>
  </si>
  <si>
    <t>Embry-Riddle Aeronautical University; Johns Hopkins University; Johns Hopkins University Applied Physics Laboratory; National Center Atmospheric Research (NCAR) - USA</t>
  </si>
  <si>
    <t>Azeem, SMI (corresponding author), Embry Riddle Aeronaut Univ, Dept Phys Sci, 600 S Clyde Morris Blvd, Daytona Beach, FL 32114 USA.</t>
  </si>
  <si>
    <t>azeem71d@erau.edu</t>
  </si>
  <si>
    <t>Liu, Han/HMD-9231-2023; Liu, Han/GVT-8296-2022; Liu, Han-Li/A-9549-2008</t>
  </si>
  <si>
    <t>Liu, Han/0000-0002-5269-8477; Liu, Han-Li/0000-0002-6370-0704</t>
  </si>
  <si>
    <t>AUG 6</t>
  </si>
  <si>
    <t>L15804</t>
  </si>
  <si>
    <t>10.1029/2005GL023393</t>
  </si>
  <si>
    <t>954GI</t>
  </si>
  <si>
    <t>WOS:000231141700005</t>
  </si>
  <si>
    <t>Pritchard, H; Murray, T; Luckman, A; Strozzi, T; Barr, S</t>
  </si>
  <si>
    <t>Glacier surge dynamics of Sortebrae, east Greenland, from synthetic aperture radar feature tracking</t>
  </si>
  <si>
    <t>DEFORMATION BENEATH GLACIERS; VARIEGATED GLACIER; SEDIMENT DEFORMATION; BERING GLACIER; ICE DYNAMICS; ALASKA; FLOW; MECHANISM; MOTION; USA</t>
  </si>
  <si>
    <t>[1] We have measured the surface flow rate of the large east Greenland glacier, Sortebrae, through both the initiation and termination of a major surge using synthetic aperture radar (SAR) feature tracking, optimized to minimize error. The Sortebrae surge began between November and January 1992 - 1993, after at least 6 weeks of subfreezing temperatures over the whole glacier, and propagated rapidly up-glacier from a central nucleus. Sortebrae reached sustained fast flow rates of up to 24 m d(-1), and the active phase lasted for 28 - 32 months before terminating in June 1995. Termination was abrupt, coinciding with the arrival of the spring thaw and the apparent release of a large volume of stored water from a single outlet at the front. The surge mechanism is interpreted as a switch from channelized to distributed drainage, which at present is best explained by Kamb's linked cavity sliding model.</t>
  </si>
  <si>
    <t>Univ Leeds, Sch Geog, Leeds LS2 9JT, W Yorkshire, England; Univ Coll Swansea, Dept Geog, Swansea SA2 8PP, W Glam, Wales; Gamma Remote Sensing, CH-3073 Gumlingen, Switzerland; Newcastle Univ, Sch Civil Engn &amp; Geosci, Newcastle Upon Tyne NE1 7RU, Tyne &amp; Wear, England</t>
  </si>
  <si>
    <t>University of Leeds; Swansea University; GAMMA Remote Sensing AG; Newcastle University - UK</t>
  </si>
  <si>
    <t>h.pritchard@bas.ac.uk</t>
  </si>
  <si>
    <t>Luckman, Adrian/GVS-1716-2022; Pritchard, Hamish Daniel/AAU-4696-2021</t>
  </si>
  <si>
    <t>Barr, Stuart/0000-0002-0433-5188; Luckman, Adrian/0000-0002-9618-5905; Murray, Tavi/0000-0001-6714-6512</t>
  </si>
  <si>
    <t>AUG 5</t>
  </si>
  <si>
    <t>F3</t>
  </si>
  <si>
    <t>F03005</t>
  </si>
  <si>
    <t>10.1029/2004JF000233</t>
  </si>
  <si>
    <t>954GP</t>
  </si>
  <si>
    <t>WOS:000231142400001</t>
  </si>
  <si>
    <t>Bassett, SE; Milne, GA; Mitrovica, JX; Clark, PU</t>
  </si>
  <si>
    <t>Ice sheet and solid earth influences on far-field sea-level histories</t>
  </si>
  <si>
    <t>LAST GLACIAL MAXIMUM; GLOBAL MELTWATER DISCHARGE; ISOSTATIC-ADJUSTMENT; HUON PENINSULA; VM2 MODEL; RECORD; PALEOTOPOGRAPHY; RECONSTRUCTIONS; VISCOSITY; EQUATION</t>
  </si>
  <si>
    <t>Previous predictions of sea-level change subsequent to the last glacial maximum show significant, systematic discrepancies between observations at Tahiti, Huon Peninsula, and Sunda Shelf during Lateglacial time (similar to 14,000 to 9000 calibrated years before the present). We demonstrate that a model of glacial isostatic adjustment characterized by both a high-viscosity lower mantle (4 x 10(22) Pa s) and a large contribution from the Antarctic ice sheet to meltwater pulse IA (similar to 15-meters eustatic equivalent) resolves these discrepancies. This result supports arguments that an early and rapid Antarctic deglaciation contributed to a sequence of climatic events that ended the most recent glacial period of the current ice age.</t>
  </si>
  <si>
    <t>Univ Durham, Dept Earth Sci, Durham DH1 3LE, England; Univ Toronto, Dept Phys, Toronto, ON M5S 1A7, Canada; Oregon State Univ, Dept Geosci, Corvallis, OR 97331 USA</t>
  </si>
  <si>
    <t>Durham University; University of Toronto; Oregon State University</t>
  </si>
  <si>
    <t>Univ Durham, Dept Earth Sci, Durham DH1 3LE, England.</t>
  </si>
  <si>
    <t>g.a.milne@durham.ac.uk</t>
  </si>
  <si>
    <t>10.1126/science.1111575</t>
  </si>
  <si>
    <t>953SS</t>
  </si>
  <si>
    <t>WOS:000231101400044</t>
  </si>
  <si>
    <t>Domack, E; Duran, D; Leventer, A; Ishman, S; Doane, S; McCallum, S; Amblas, D; Ring, J; Gilbert, R; Prentice, M</t>
  </si>
  <si>
    <t>Stability of the Larsen B ice shelf on the Antarctic Peninsula during the Holocene epoch</t>
  </si>
  <si>
    <t>QUATERNARY GLACIAL HISTORY; SEDIMENTARY RECORD; CLIMATE; MARGIN; SHEET</t>
  </si>
  <si>
    <t>The stability of the Antarctic ice shelves in a warming climate has long been discussed(1), and the recent collapse of a significant part, over 12,500 km(2) in area, of the Larsen ice shelf off the Antarctic Peninsula(2,3) has led to a refocus toward the implications of ice shelf decay for the stability of Antarctica's grounded ice(4-6). Some smaller Antarctic ice shelves have undergone periodic growth and decay over the past 11,000 yr ( refs 7 - 11), but these ice shelves are at the climatic limit of ice shelf viability(12) and are therefore expected to respond rapidly to natural climate variability at century to millennial scales(8-11). Here we use records of diatoms, detrital material and geochemical parameters from six marine sediment cores in the vicinity of the Larsen ice shelf to demonstrate that the recent collapse of the Larsen B ice shelf is unprecedented during the Holocene. We infer from our oxygen isotope measurements in planktonic foraminifera that the Larsen B ice shelf has been thinning throughout the Holocene, and we suggest that the recent prolonged period of warming in the Antarctic Peninsula region(13,14), in combination with the long-term thinning, has led to collapse of the ice shelf.</t>
  </si>
  <si>
    <t>Hamilton Coll, Dept Geosci, Clinton, NY 13323 USA; Colgate Univ, Dept Geol, Hamilton, NY 13346 USA; So Illinois Univ, Dept Geol, Carbondale, IL 62901 USA; Univ Barcelona, Dept Stratig Paleontol &amp; Marine Geosci, E-08028 Barcelona, Spain; Hamilton Coll, Dept Phys, Clinton, NY 13323 USA; Queens Univ, Dept Geog, Kingston, ON K7L 3N6, Canada; Univ New Hampshire, Dept Earth Sci, Durham, NH 03824 USA</t>
  </si>
  <si>
    <t>Hamilton College; Colgate University; Southern Illinois University System; Southern Illinois University; University of Barcelona; Hamilton College; Queens University - Canada; University System Of New Hampshire; University of New Hampshire</t>
  </si>
  <si>
    <t>Hamilton Coll, Dept Geosci, Clinton, NY 13323 USA.</t>
  </si>
  <si>
    <t>edomack@hamilton.edu</t>
  </si>
  <si>
    <t>; Amblas, David/A-5482-2015</t>
  </si>
  <si>
    <t>Leventer, Amy/0000-0001-9401-0987; Amblas, David/0000-0002-6248-5512</t>
  </si>
  <si>
    <t>AUG 4</t>
  </si>
  <si>
    <t>10.1038/nature03908</t>
  </si>
  <si>
    <t>951XA</t>
  </si>
  <si>
    <t>WOS:000230964500039</t>
  </si>
  <si>
    <t>Lakkala, K; Redondas, A; Meinander, O; Torres, C; Koskela, T; Cuevas, E; Taalas, P; Dahlback, A; Deferrari, G; Edvardsen, K; Ochoa, H</t>
  </si>
  <si>
    <t>Quality assurance of the solar UV network in the Antarctic</t>
  </si>
  <si>
    <t>OZONE; MULTICHANNEL</t>
  </si>
  <si>
    <t>Measuring ultraviolet radiation in the Antarctic region, where weather conditions are extremely challenging, is a demanding task. Proper quality control of the measurements and quality assurance of the data, which are the basis of all scientific use of data, has to be especially well planned and executed. In this paper we show the importance of proper quality assurance and describe the methods used to successfully operate the NILU-UV multichannel radiometers of the Antarctic network stations at Ushuaia, 54 degrees S, and Marambio, 64 degrees S. According to our experience, even though multichannel instruments are supposed to be rather stable as a function of time, severe drifts can occur in the sensitivity of the channels under these harsh conditions. During 2000-2003 the biggest drifts were 35%, both at Ushuaia and Marambio, with the sensitivity of the channels dropping at different rates. Without proper corrections in the data, this would have seriously affected the calculated UV dose rates. As part of the quality assurance of the network a traveling reference NILU-UV, which was found to be stable, was used to transfer the desired irradiance scale to the site NILU-UV data. Relative lamp tests were used to monitor the stability of the instruments. Each site NILU-UV was scaled channel by channel to the traveling reference by performing solar comparisons. The method of scaling each channel separately was found to be successful, even though the differences between the raw data of the site NILU-UV and the reference instruments were, before the data correction, as much as 40%. After the correction, the mean ratios of erythemally weighted UV dose rates measured during the solar comparisons in 2000-2003 between the reference NILU-UV and the site NILU-UV were 1.007 +/- 0.011 and 1.012 +/- 0.012 for Ushuaia and Marambio, respectively, when the solar zenith angle varied up to 80 degrees. These results make possible the scientific use of NILU-UV data measured simultaneously at quite different locations, e.g., the Antarctic and Arctic, and the method presented is also practicable for other multichannel radiometer networks.</t>
  </si>
  <si>
    <t>Finnish Meteorol Inst, UV Res, FIN-96101 Rovaniemi, Finland; Inst Nacl Meteorol, E-38071 Santa Cruz de Tenerife, Spain; Univ Oslo, Dept Phys, N-0316 Oslo, Norway; Ctr Austral Invest Cient, RA-9410 Ushuaia, Tierra Del Fueg, Argentina; Norwegian Inst Air Res NILU, NO-9296 Tromso, Norway; Inst Antartico Argentino, Direcc Nacl Antartico, RA-1010 Buenos Aires, DF, Argentina</t>
  </si>
  <si>
    <t>Finnish Meteorological Institute; Agencia Estatal de Meteorologia (AEMET); University of Oslo; NILU; Instituto Antartico Argentino</t>
  </si>
  <si>
    <t>Lakkala, K (corresponding author), Finnish Meteorol Inst, UV Res, POB 8178, FIN-96101 Rovaniemi, Finland.</t>
  </si>
  <si>
    <t>kaisa.lakkala@fmi.fi</t>
  </si>
  <si>
    <t>Meinander, Outi I/M-8589-2014; Torres, Carlos/L-9035-2018; Redondas, Alberto/L-9299-2015; Lakkala, Kaisa/AAN-4342-2020; Meinander, Outi/AAN-1460-2020; Cuevas, Emilio/L-2109-2013</t>
  </si>
  <si>
    <t>Torres, Carlos/0000-0002-5382-8835; Redondas, Alberto/0000-0002-4826-6823; Lakkala, Kaisa/0000-0003-2840-1132; Meinander, Outi/0000-0001-6608-3951; Cuevas, Emilio/0000-0003-1843-8302</t>
  </si>
  <si>
    <t>AUG 3</t>
  </si>
  <si>
    <t>D15101</t>
  </si>
  <si>
    <t>10.1029/2004JD005584</t>
  </si>
  <si>
    <t>954GK</t>
  </si>
  <si>
    <t>WOS:000231141900001</t>
  </si>
  <si>
    <t>King, MA; Penna, NT; Clarke, PJ; King, EC</t>
  </si>
  <si>
    <t>Validation of ocean tide models around Antarctica using onshore GPS and gravity data</t>
  </si>
  <si>
    <t>ICE SHELF; LAMBERT GLACIER; GROUNDING-ZONE; SOUTH-POLE; LOAD TIDES; INTERFEROMETRY; ALTIMETRY; EARTH; DEFORMATION; VELOCITIES</t>
  </si>
  <si>
    <t>Ocean tide models around Antarctica are presently only sparsely tested against independent data. Ocean tide modeling errors, along with subsequent ocean tide loading (OTL) displacement modeling errors, alias into altimetry and time variable gravity (e.g., Gravity Recovery and Climate Experiment (GRACE)) time series, for example. To validate various ocean tide models around Antarctica, GPS data from 15 sites have been used to derive three-dimensional displacement estimates at eight diurnal and semidiurnal tidal frequencies. Using hundreds of days of GPS data, harmonic parameters were estimated on a daily basis then combined. These were then compared with OTL displacement estimates derived from global and regional ocean tide models. In East Antarctica, where the tides are well defined, submillimeter differences are demonstrated in each coordinate component with the lunar N-2 and Q(1) constituents in closest agreement. As found in other studies, K-1 and, especially, K-2 agree less well. The spatial variation in the misfits for these two constituents indicates a site dependency, with the K-2 errors also suggesting an interaction with satellite-dependent effects. In West Antarctica, where sites are nearer the largest ice shelves, agreement with the older models (CSR3 and TPXO.2) and NAO.99b is poor for all constituents. Modeled tidal gravity variations were also compared with gravity measurements at the South Pole. Overall the GPS and gravity data agree best with newer tide models, namely, TPXO.6, CADA00.10, FES99, and CATS02.01. However, validation data are lacking at the southern extents of the large ice shelves, and hence some uncertainty still exists in all ocean tide models in these regions.</t>
  </si>
  <si>
    <t>British Antarctic Survey, Div Phys Sci, Cambridge CB3 0ET, England; Univ Newcastle, Sch Civil Engn &amp; Geosci, Newcastle Upon Tyne NE1 7RU, Tyne &amp; Wear, England</t>
  </si>
  <si>
    <t>UK Research &amp; Innovation (UKRI); Natural Environment Research Council (NERC); NERC British Antarctic Survey; Newcastle University - UK</t>
  </si>
  <si>
    <t>Univ Newcastle, Sch Civil Engn &amp; Geosci, Newcastle Upon Tyne NE1 7RU, Tyne &amp; Wear, England.</t>
  </si>
  <si>
    <t>Penna, Nigel T/K-8995-2012; King, Matt/B-4622-2008; Clarke, Peter John/B-1783-2008</t>
  </si>
  <si>
    <t>King, Matt/0000-0001-5611-9498; Clarke, Peter John/0000-0003-1276-8300; Penna, Nigel/0000-0002-6719-1978</t>
  </si>
  <si>
    <t>AUG 2</t>
  </si>
  <si>
    <t>B08401</t>
  </si>
  <si>
    <t>10.1029/2004JB003390</t>
  </si>
  <si>
    <t>954GV</t>
  </si>
  <si>
    <t>WOS:000231143000001</t>
  </si>
  <si>
    <t>Leppäluoto, J; Pääkkönen, T; Korhonen, I; Hassi, J</t>
  </si>
  <si>
    <t>Pituitary and autonomic responses to cold exposures in man</t>
  </si>
  <si>
    <t>ACTA PHYSIOLOGICA SCANDINAVICA</t>
  </si>
  <si>
    <t>11th International Symposium on Thermogenesis and Uncoupling Proteins</t>
  </si>
  <si>
    <t>NOV 08, 2004</t>
  </si>
  <si>
    <t>adrenaline; noradrenaline; seasonality; thyrotropin; thyroxine; triiodothyronine</t>
  </si>
  <si>
    <t>BROWN ADIPOSE-TISSUE; PROLONGED ANTARCTIC RESIDENCE; THYROTROPIN-RELEASING-HORMONE; THYROID-HORMONE; SERUM THYROTROPIN; BIOLOGICAL VARIATION; CHEMICAL-REGULATION; UNCOUPLING PROTEIN; SEASONAL-VARIATION; ADRENAL-STEROIDS</t>
  </si>
  <si>
    <t>This review presents hormonal responses to various cold exposures and their calorigenic effects in man and some animals. Previous studies in rats have shown that cold exposures activate the hypothalamic-pituitary-thyroid axis. Increased thyroid hormone concentrations lead to heat production via general stimulation of metabolism (obligatory thermogenesis) and possibly via activation of thyroid hormone receptors and uncoupling protein 1 (UCP 1) and deiodinase enzyme genes in the brown adipose tissue (BAT). In human subjects long-term cold exposures do not seem to activate the pituitary-thyroid axis, but rather accelerate the elimination of triiodothyronine (T3), leading to low serum concentrations of free T3 hormone. In corollary to this a hypothyreotic condition with increased serum thyroid-stimulating hormone and impaired mood and cognitive performance can be observed after long-term cold exposures such as wintering. During cold exposures the sympathetic nerve system is activated and noradrenaline is released to blood circulation and to BAT, where it leads to production of cAMP, lipolysis and free fatty acids. Free fatty acids open the mitochondrial proton channel protein in BAT. Protons enter the mitochondria and inhibit ATP synthesis (uncoupling). By this way energy is transformed into heat (facultatory or adaptive thermogenesis). In adult human subjects the amount of BAT is small and adaptive thermogenesis (non-shivering thermogenesis) has a smaller role. UCP 1 with other uncoupling proteins may have other functions in the control of body weight, sugar balance and formation of reactive oxygen species.</t>
  </si>
  <si>
    <t>Univ Oulu, Dept Physiol, Oulu, Finland; Univ Oulu, Ctr Arctic Med, Oulu, Finland</t>
  </si>
  <si>
    <t>University of Oulu; University of Oulu</t>
  </si>
  <si>
    <t>Univ Oulu, Dept Physiol, POB 5000, Oulu, Finland.</t>
  </si>
  <si>
    <t>juhani.leppaluoto@oulu.fi</t>
  </si>
  <si>
    <t>0001-6772</t>
  </si>
  <si>
    <t>ACTA PHYSIOL SCAND</t>
  </si>
  <si>
    <t>Acta Physiol. Scand.</t>
  </si>
  <si>
    <t>AUG</t>
  </si>
  <si>
    <t>10.1111/j.1365-201X.2005.01464.x</t>
  </si>
  <si>
    <t>Physiology</t>
  </si>
  <si>
    <t>950XE</t>
  </si>
  <si>
    <t>WOS:000230891200002</t>
  </si>
  <si>
    <t>Bonnedahl, J; Broman, T; Waidenström, J; Palmgren, H; Niskanen, T; Olsen, B</t>
  </si>
  <si>
    <t>In search of human-associated bacterial pathogens in antarctic wildlife:: Report from six penguin colonies regularly visited by tourists</t>
  </si>
  <si>
    <t>AMBIO</t>
  </si>
  <si>
    <t>SALMONELLA; STATION; BIRDS</t>
  </si>
  <si>
    <t>We investigated the potential role of Antarctic tourism in the introduction of human-associated pathogens into Antarctic wildlife. We collected and analyzed 233 fecal samples from eight bird species. The samples were collected at six localities on the Antarctic Peninsula, which often is visited by tourists. Every sample was investigated for pathogens of potential human origin: Campylobacter jejuni, Salmonella spp., and Yersina spp. None of these bacteria was found. Our data suggest that the tourism industry so far has achieved its goal of not introducing pathogens into the Antarctic region. There is, however, an urgent need to further investigate the situation in areas closer to permanent Antarctic settlements.</t>
  </si>
  <si>
    <t>Umea Univ, Dept Mol Biol, SE-90187 Umea, Sweden; FOI NBC Def, Dept NBC Anal, SE-90182 Umea, Sweden; Lund Univ, Dept Anim Ecol, SE-22362 Lund, Sweden; Umea Univ, Dept Infect Dis, SE-90187 Umea, Sweden; Univ Helsinki, Fac Med Vet, FIN-00014 Helsinki, Finland</t>
  </si>
  <si>
    <t>Umea University; FOI - Swedish Defence Research Agency; Lund University; Umea University; University of Helsinki</t>
  </si>
  <si>
    <t>Umea Univ, Dept Mol Biol, SE-90187 Umea, Sweden.</t>
  </si>
  <si>
    <t>jonasb@ltkalmar.se; jonas.waldenstrom@zooekol.lu.se; jonas.waldenstrom@zooekol.lu.se; helena.palmgren@infdis.umu.se; taina.niskanen@helsinki.fi; bjornol@ltkalmar.se</t>
  </si>
  <si>
    <t>Bonnedahl, Jonas/GZG-8435-2022; Waldenstrom, Jonas/E-4460-2013</t>
  </si>
  <si>
    <t>Bonnedahl, Jonas/0000-0002-3182-389X; Waldenstrom, Jonas/0000-0002-1152-4235; Olsen, Bjorn/0000-0002-4646-691X</t>
  </si>
  <si>
    <t>0044-7447</t>
  </si>
  <si>
    <t>1654-7209</t>
  </si>
  <si>
    <t>Ambio</t>
  </si>
  <si>
    <t>10.1639/0044-7447(2005)034[0430:ISOHBP]2.0.CO;2</t>
  </si>
  <si>
    <t>954TW</t>
  </si>
  <si>
    <t>WOS:000231178800002</t>
  </si>
  <si>
    <t>Fonseca-Madrigal, J; Karalazos, V; Campbell, PJ; Bell, JG; Tocher, DR</t>
  </si>
  <si>
    <t>Influence of dietary palm oil on growth, tissue fatty acid compositions, and fatty acid metabolism in liver and intestine in rainbow trout (Oncorhynchus mykiss)</t>
  </si>
  <si>
    <t>AQUACULTURE NUTRITION</t>
  </si>
  <si>
    <t>beta-oxidation; desaturation; enterocytes; hepatocytes; palm oil; polyunsaturated fatty acids; rainbow trout</t>
  </si>
  <si>
    <t>SALMON SALMO-SALAR; PEROXISOMAL BETA-OXIDATION; FISH-OIL; LIPID DIGESTIBILITY; WATER TEMPERATURE; ANTARCTIC FISH; RAPESEED OIL; COA OXIDASE; DESATURATION; MITOCHONDRIAL</t>
  </si>
  <si>
    <t>This study aimed to investigate the effects of dietary crude palm oil (CPO) on fatty acid metabolism in liver and intestine of rainbow trout. Triplicate groups of rainbow trout for 10 weeks at 13 degrees C were fed on diets in which CPO replaced fish oil (FO) in a graded manner (0-100%). At the end of the trial, fatty acid compositions of flesh, liver and pyloric caeca were determined and highly unsaturated fatty acid (HUFA) synthesis and fatty acid oxidation were estimated in isolated hepatocytes and caecal enterocytes using [1-C-14]18:3n-3 as substrate. Growth performance and feed efficiency were unaffected by dietary CPO. Fatty acid compositions of selected tissues reflected the dietary fatty acid composition with increasing CPO resulting in increased proportions of 18:1n-9 and 18:2n-6 and decreased proportions of n-3HUFA, 20:5n-3 and 22:6n-3. Palmitic acid, 16:0, was also increased in flesh and pyloric caeca, but not in liver. The capacity of HUFA synthesis from 18:3n-3 increased by up to threefold in both hepatocytes and enterocytes in response to graded increases in dietary CPO. In contrast, oxidation of 18:3n-3 was unaffected by dietary CPO in hepatocytes and reduced by high levels of dietary CPO in enterocytes. The results of this study suggest that CPO can be used at least to partially replace FO in diets for rainbow trout in terms of permitting similar growth and feed conversion, and having no major detrimental effects on lipid and fatty acid metabolism, although flesh fatty acid compositions are significantly affected at an inclusion level above 50%, with n-3HUFA reduced by up to 40%.</t>
  </si>
  <si>
    <t>Univ Stirling, Inst Aquaculture, Stirling FK9 4LA, Scotland; BioMar Ltd, Grangemouth, Scotland</t>
  </si>
  <si>
    <t>University of Stirling</t>
  </si>
  <si>
    <t>Univ Stirling, Inst Aquaculture, Stirling FK9 4LA, Scotland.</t>
  </si>
  <si>
    <t>jorge.fonseca-madrigal@stir.ac.uk</t>
  </si>
  <si>
    <t>Karalazos, Vasileios/AGR-7881-2022; Karalazos, Vasileios/AAI-7953-2020; Tocher, Douglas/C-5652-2011</t>
  </si>
  <si>
    <t>Karalazos, Vasileios/0000-0002-4490-5499; Tocher, Douglas/0000-0002-8603-9410; Universidad Michoacana de San Nicolas de Hidalgo, Laboratorio Nacional de Nutrigenomica y Microbiomica Digestiva Animal/0000-0002-0759-6025; Fonseca-Madrigal, Jorge/0000-0003-2861-6918</t>
  </si>
  <si>
    <t>1353-5773</t>
  </si>
  <si>
    <t>1365-2095</t>
  </si>
  <si>
    <t>AQUACULT NUTR</t>
  </si>
  <si>
    <t>Aquac. Nutr.</t>
  </si>
  <si>
    <t>10.1111/j.1365-2095.2005.00346.x</t>
  </si>
  <si>
    <t>944MN</t>
  </si>
  <si>
    <t>WOS:000230433200002</t>
  </si>
  <si>
    <t>Abraham, KF; Jefferies, RL; Rockwell, RF</t>
  </si>
  <si>
    <t>Goose-induced changes in vegetation and land cover between 1976 and 1997 in an arctic coastal marsh</t>
  </si>
  <si>
    <t>LESSER SNOW GEESE; SALT-MARSH; PLANT-COMMUNITIES; ISOSTATIC UPLIFT; SOIL DEGRADATION; HERBIVORY; BAY; SALINITY; HABITAT</t>
  </si>
  <si>
    <t>Since the 1970s, a breeding colony of lesser snow geese (Chen caerulescens caerulescens L.) at La Perouse Bay, Manitoba, has grown 8% annually. This increase has led to significant loss of plant cover in all major salt- and freshwater coastal habitats between 1976 and 1997. A series of transects established in 1976 was resurveyed in 1997. Exposed sediment, extent and type of vegetative cover, and aquatic areas were recorded along transects using a classification of 12 a priori classes. Five regions within the colony were identified, and changes in vegetation cover differed among these and depended on unique combinations of vegetation class and year. Grubbing by geese has led to loss of graminoid plants, especially in intertidal and supratidal marshes. Exposed sediments have largely replaced previously vegetated areas since 1976. Species characteristic of disturbed sites have colonized exposed sediment with the most abundant species varying according to soil conditions. In intertidal marshes, willow cover declined in association with the development of hypersalinity after loss of the graminoid mat, but willow cover increased at the base of well-drained beach ridges and in a river delta with ample winter snow accumulation and freshwater flow in spring that protected ground vegetation. Most of the expected successional trends associated with isostatic uplift and changes in soil organic matter failed to occur because of intense goose foraging throughout the 20 years. The likelihood of sustained recovery of plant communities in the immediate coastal zone is very low, as long as goose numbers continue to increase. Indirect effects of vegetation loss (e.g., hypersalinity) and subsequent erosion of exposed sediments following grubbing will delay plant colonization and retard succession.</t>
  </si>
  <si>
    <t>Ontario Minist Nat Resources, Wildlife Res &amp; Dev Sect, Peterborough, ON K9J 8M5, Canada; Univ Toronto, Dept Bot, Toronto, ON M5S 3B2, Canada; Amer Museum Nat Hist, Dept Ornithol, New York, NY 10024 USA</t>
  </si>
  <si>
    <t>Ministry of Natural Resources &amp; Forestry; University of Toronto; American Museum of Natural History (AMNH)</t>
  </si>
  <si>
    <t>Abraham, KF (corresponding author), Ontario Minist Nat Resources, Wildlife Res &amp; Dev Sect, 300 Water St, Peterborough, ON K9J 8M5, Canada.</t>
  </si>
  <si>
    <t>ken.abraham@mnr.gov.on.ca</t>
  </si>
  <si>
    <t>10.1657/1523-0430(2005)037[0269:GCIVAL]2.0.CO;2</t>
  </si>
  <si>
    <t>964NC</t>
  </si>
  <si>
    <t>WOS:000231886800001</t>
  </si>
  <si>
    <t>Benning, J; Yang, DQ</t>
  </si>
  <si>
    <t>Adjustment of daily precipitation data at Barrow and Nome Alaska for 1995-2001</t>
  </si>
  <si>
    <t>UNITED-STATES; SOLID PRECIPITATION; NIWOT RIDGE; GAUGE; ACCURACY; COLORADO; BIASES; SNOW</t>
  </si>
  <si>
    <t>Systematic errors in precipitation measurements are known to affect all types of precipitation gages. These errors are more sensitive for solid precipitation than for rain. In arctic regions, these systematic errors become significantly more pronounced than for other regions due to the relatively slow precipitation rates, low temperatures, high winds, and low annual precipitation amounts that are characteristic of the arctic climate. This study performed the daily adjustments of measured precipitation data for the National Weather Service (NWS) stations at Barrow and Nome, Alaska, over a 7-year study period, from 1995 through 2001. The results of this study indicate that the bias adjustments increase the average monthly gage-measured precipitation by approximately 20%-180% for Barrow and 300%-380% for Nome, with the larger percentages occurring in winter months. The average gage-measured annual precipitation amounts are increased by approximately 70% for Barrow and 130% for Nome. It is expected that these increases will impact climate monitoring, the understanding of the arctic freshwater balance, and the assessment of atmospheric model performance in the Arctic.</t>
  </si>
  <si>
    <t>Univ Alaska Fairbanks, Water &amp; Environm Res Ctr, Fairbanks, AK 99775 USA</t>
  </si>
  <si>
    <t>Univ Alaska Fairbanks, Water &amp; Environm Res Ctr, POB 755860, Fairbanks, AK 99775 USA.</t>
  </si>
  <si>
    <t>fnjlb2@uaf.edu; ffdy@uaf.edu</t>
  </si>
  <si>
    <t>10.1657/1523-0430(2005)037[0276:AODPDA]2.0.CO;2</t>
  </si>
  <si>
    <t>WOS:000231886800002</t>
  </si>
  <si>
    <t>Dalen, L; Hofgaard, A</t>
  </si>
  <si>
    <t>Differential regional treeline dynamics in the Scandes Mountains</t>
  </si>
  <si>
    <t>PUBESCENS SSP TORTUOSA; CLIMATE-CHANGE; PICEA-ABIES; SOIL-TEMPERATURE; ALTITUDINAL GRADIENT; SUCCESSIONAL TRENDS; PINUS-SYLVESTRIS; BIRCH SEEDLINGS; SWEDISH SCANDES; GROWTH</t>
  </si>
  <si>
    <t>Age structure, tree characteristics, and environmental data were used to analyze the status of the birch treeline in three regions along the Scandes Mountains from 62 degrees 10'N to 69 degrees 50'N. Aspect and estimated relative radiation explained most of the treeline altitude across studied regions, but not all variation. Main tree establishment occurred during the 1940s in the southern and northernmost regions, and during the 1960s in the middle region. Age distribution patterns at 2 m (tree size), however, showed stable or possibly progressive treelines in the southern and middle regions but recent recession in the north. Growth rates varied through time and between regions, with an apparent decrease in the north since the 1940s. Weak negative correlations between attitude and age in the south indicate recent changes favoring tree growth or increased turnover at higher, more exposed altitudes. Although Scandinavian treelines are expected to advance in response to climate warming, this was not evident as a general pattern for all regions. Seasonally different climate patterns, browsing, and abrasion are mechanisms involved in this, These regionally different patterns have to be taken into account in predictions of future responses to avoid overestimation of, e.g., ecosystem change, carbon uptake capacity, and feedbacks to climate systems.</t>
  </si>
  <si>
    <t>Norwegian Univ Sci &amp; Technol, Dept Biol, N-7491 Trondheim, Norway; Norwegian Inst Nat Res, N-7485 Trondheim, Norway</t>
  </si>
  <si>
    <t>Norwegian University of Science &amp; Technology (NTNU); Norwegian Institute Nature Research</t>
  </si>
  <si>
    <t>Norwegian Univ Sci &amp; Technol, Dept Biol, N-7491 Trondheim, Norway.</t>
  </si>
  <si>
    <t>linda.dalen@bio.ntnu.no; annika.hofgaard@nina.no</t>
  </si>
  <si>
    <t>10.1657/1523-0430(2005)037[0284:DRTDIT]2.0.CO;2</t>
  </si>
  <si>
    <t>WOS:000231886800003</t>
  </si>
  <si>
    <t>Densmore, RV</t>
  </si>
  <si>
    <t>Succession on subalpine placer mine spoil:: Effects of revegetation with Alnus viridis, Alaska, USA</t>
  </si>
  <si>
    <t>INFECTIVE FRANKIA; GLACIER BAY; RED ALDER; GROWTH; FLOODPLAIN; GLUTINOSA; POPULUS; N-15</t>
  </si>
  <si>
    <t>Alnus viridis seedlings were planted on placer mine spoil in an Alaskan subalpine watershed to bypass a seedling establishment bottleneck for A. viridis, and to evaluate the interaction between A. viridis and the dominant riparian woody plants, Salix alaxensis and Populus balsamifera. The study area was divided into I I replicate blocks, each on a homogeneous recontoured spoil pile. Blocks were divided into two 0.01 ha plots, and treatments without (control) and with 84 planted A. viridis seedlings were randomly assigned to plots. After 10 years, the Alnus treatment had a dense stand of A. viridis 1-2 m tall, while the control had fewer, smaller seedlings. Compared to the control, planted A. viridis had a neutral effect on S. alaxensis and inhibited P. balsamifera at the seedling establishment stage, but facilitated the growth of established plants of both species, with many plants overtopping the A. viridis canopy. Compared to the control, S. alaxensis plants in the Alnus treatment had higher levels of foliar N and delta N-15 values closer to those of A. viridis, indicating the importance of N fixation by A. viridis. Planting A. viridis accelerated the rate of succession by stimulating growth of woody dominants.</t>
  </si>
  <si>
    <t>US Geol Survey, Alaska Sci Ctr, Anchorage, AK 99503 USA</t>
  </si>
  <si>
    <t>US Geol Survey, Alaska Sci Ctr, 1011 E Tudor Rd, Anchorage, AK 99503 USA.</t>
  </si>
  <si>
    <t>roseann_densmore@usgs.gov</t>
  </si>
  <si>
    <t>10.1657/1523-0430(2005)037[0297:SOSPMS]2.0.CO;2</t>
  </si>
  <si>
    <t>WOS:000231886800004</t>
  </si>
  <si>
    <t>Forbes, AC; Lamoureux, SF</t>
  </si>
  <si>
    <t>Climatic controls on streamflow and suspended sediment transport in three large middle arctic catchments, Boothia Peninsula, Nunavut, Canada</t>
  </si>
  <si>
    <t>NORTHERN ELLESMERE ISLAND; VARVED SEDIMENTS; DRAINAGE-BASIN; LAKE C2; HYDROLOGY; RIVER; REPRESENTATIVENESS; SNOWMELT</t>
  </si>
  <si>
    <t>Streamflow, suspended sediment transport. and meteorological variables were measured during two field seasons in order to determine the climatic controls on daily discharge and suspended sediment load for three large middle arctic catchments, Substantive suspended sediment transfer only occurred during the short-lived nival peak. and the duration of the peak appears to be broadly scaled with interannual catchment snow water equivalence (SWE). Thermal energy was critical in generating streamflow and suspended sediment transfer, but only until watershed snowpack had been exhausted. Thus, total annual suspended sediment load in this environment is ultimately a function of total discharge through SWE rather than melt energy. Specific sediment yields were some of the lowest recorded in the arctic, ranging between 0.2 and 1.9 t km (2.)a (1). This study demonstrates the sensitivity middle arctic watersheds to both winter snowpack and spring thermal conditions and provides a basis for understanding the hydrological impact of future climate changes.</t>
  </si>
  <si>
    <t>Queens Univ, Dept Geog, Kingston, ON K7L 3N6, Canada</t>
  </si>
  <si>
    <t>Queens University - Canada</t>
  </si>
  <si>
    <t>Queens Univ, Dept Geog, Kingston, ON K7L 3N6, Canada.</t>
  </si>
  <si>
    <t>forbes@lake.geog.queensu.ca; lamoureu@post.queensu.ca</t>
  </si>
  <si>
    <t>10.1657/1523-0430(2005)037[0304:CCOSAS]2.0.CO;2</t>
  </si>
  <si>
    <t>WOS:000231886800005</t>
  </si>
  <si>
    <t>Hood, E; Scheler, K; Carter, P</t>
  </si>
  <si>
    <t>Near-surface faceted crystal formation and snow stability in a high-latitude maritime snow ornate, Juneau, Alaska</t>
  </si>
  <si>
    <t>MOUNTAIN SNOWPACK; GROWTH; AVALANCHES; TRANSPORT; LAYER</t>
  </si>
  <si>
    <t>The City and Borough of Juneau, Alaska, has several major avalanche paths located in close proximity to population centers and is routinely affected by avalanche activity. As a result, developing a better understanding of the snowpack conditions that lead to avalanche cycles is of great interest. This study investigates temperature and vapor pressure gradients associated with near-surface faceted crystal formation in the high-latitude maritime snow climate of southeast Alaska, Here we report on two episodes in March and April 2003 in which temperature gradients measured in the upper 25 cm of the snowpack were in excess of 70 degrees C m (1). These temperature gradients were associated with strong near-surface vapor pressure gradients that exceeded 5 mb m (1) for up to 48 h. During both episodes, faceted crystals 1-2 mm in diameter were observed to form near the surface of the snowpack. Field tests performed simultaneously at the study site demonstrated pronounced instabilities associated with the newly formed faceted crystals, Furthermore, avalanche activity was observed following both periods. investigations of proximate avalanches showed that wind-loaded dry slabs were running on layers of near-surface faceted crystals.</t>
  </si>
  <si>
    <t>Univ Alaska Southeast, Environm Sci Program, Juneau, AK 99801 USA; Southeast Alaska Avalanche Ctr, Juneau, AK 99801 USA</t>
  </si>
  <si>
    <t>University of Alaska System; University of Alaska Southeastern</t>
  </si>
  <si>
    <t>Univ Alaska Southeast, Environm Sci Program, 11120 Glacier Highway, Juneau, AK 99801 USA.</t>
  </si>
  <si>
    <t>eran.hood@uas.alaska.edu</t>
  </si>
  <si>
    <t>10.1657/1523-0430(2005)037[0316:NFCFAS]2.0.CO;2</t>
  </si>
  <si>
    <t>WOS:000231886800006</t>
  </si>
  <si>
    <t>Hulbe, CL; Johnston, R; Joughin, I; Scambos, T</t>
  </si>
  <si>
    <t>Marine ice modification of fringing ice shelf flow</t>
  </si>
  <si>
    <t>SAR INTERFEROMETRY; MASS-BALANCE; ANTARCTICA; CLIMATE; SHEET; MODEL; SIMULATIONS; RHEOLOGY; PROJECT; STREAM</t>
  </si>
  <si>
    <t>Locally derived ice is often observed to fill through-cutting rifts and uneven fronts in ice shelves. That ice may nucleate as fast ice at the shelf front, by growth at the sea surface within rifts, or by basal accretion. Here, we investigate the role of such ice in the flow of the Brunt Ice Shelf and adjacent Stancomb-Wills ice tongue, along the Caird Coast of Antarctica. Much of the shelf system is severely rifted, with locally derived ice filling the space between rift walls and around ice rafts. A series of numerical experiments that account for thermal properties of the different ices is used to investigate the influence of that mixture of sea and marine ice on the kinematics and dynamics of the shelf system. The simulations are constrained by a variety of satellite remote-sensing data. We find that the locally derived ice forms a dynamic connection between the ice tongue and the Caird Coast, effectively creating an embayment where no coastal embayment exists. This may have implications for the expansion of ice shelves along arctic coasts during past glaciations.</t>
  </si>
  <si>
    <t>Portland State Univ, Dept Geol, Portland, OR 97207 USA; Univ Washington, Appl Phys Lab, Seattle, WA 98105 USA; Univ Colorado, Natl Snow &amp; Ice Data Ctr, Boulder, CO 80309 USA</t>
  </si>
  <si>
    <t>Portland State University; University of Washington; University of Washington Seattle; University of Colorado System; University of Colorado Boulder</t>
  </si>
  <si>
    <t>Hulbe, CL (corresponding author), Portland State Univ, Dept Geol, Portland, OR 97207 USA.</t>
  </si>
  <si>
    <t>chulbe@pdx.edu</t>
  </si>
  <si>
    <t>Joughin, Ian/AAR-7778-2021; Scambos, Ted A/B-1856-2009; Joughin, Ian R/A-2998-2008</t>
  </si>
  <si>
    <t>Joughin, Ian/0000-0001-6229-679X; Joughin, Ian R/0000-0001-6229-679X; Hulbe, Christina/0000-0003-4765-7037; SCAMBOS, Ted A./0000-0003-4268-6322</t>
  </si>
  <si>
    <t>10.1657/1523-0430(2005)037[0323:MIMOFI]2.0.CO;2</t>
  </si>
  <si>
    <t>WOS:000231886800007</t>
  </si>
  <si>
    <t>Kleier, C; Lambrinos, JG</t>
  </si>
  <si>
    <t>The importance of nurse associations for three tropical alpine life forms</t>
  </si>
  <si>
    <t>POSITIVE INTERACTIONS; SEEDLING ESTABLISHMENT; SPECIES-DIVERSITY; SOIL-WATER; PLANTS; FACILITATION; COMPETITION; SUCCESSION; DESERT; CACTI</t>
  </si>
  <si>
    <t>We investigated biotic and abiotic associations for four growth forms in Chile's Parque Nacional Lauca, a tropical alpine puna ecosystem. We determined the biotic associations between Parastrephia lucida (Meyen) Cabr. [Asteraceae] and Festuca orthophylla Pilger. [Poaceae]. To determine if F. orthophylla was acting as a nurse plant for P. lucida, we used chi-square analysis to test for nurse plant effects. Our results indicated that F. orthophylla roots more often on bare ground and that P. lucida grows more often in association with F. orthophylla than would be expected. In testing for abiotic associations, we observed that both a tree, Polylepis tarapacana [Rosaceae], and a cactus, Tephrocactus ignescens [Cactaceae], showed positive abiotic associations with large boulders. These studies indicate that in an extreme environment, such as the South American puna, abiotic and biotic associations are important for plant survival.</t>
  </si>
  <si>
    <t>Metropolitan State Coll, Dept Biol, Denver, CO 80217 USA; Univ Calif Davis, Dept Environm Sci &amp; Policy, Davis, CA 95616 USA</t>
  </si>
  <si>
    <t>University of California System; University of California Davis</t>
  </si>
  <si>
    <t>Kleier, C (corresponding author), Metropolitan State Coll, Dept Biol, Sci Bldg 213,Campus Box 53,POB 173362, Denver, CO 80217 USA.</t>
  </si>
  <si>
    <t>ckleier@mscd.edu; jglambrinos@ucdavis.edu</t>
  </si>
  <si>
    <t>10.1657/1523-0430(2005)037[0331:TIONAF]2.0.CO;2</t>
  </si>
  <si>
    <t>WOS:000231886800008</t>
  </si>
  <si>
    <t>McMaster, NL; Schindler, DW</t>
  </si>
  <si>
    <t>Planktonic and epipelic algal communities and their relationship to physical and chemical variables in alpine ponds in Banff National Park, Canada</t>
  </si>
  <si>
    <t>PHYTOPLANKTON COMMUNITY; CRUSTACEAN PLANKTON; WATER CHEMISTRY; CLIMATE-CHANGE; LAKES; NUTRIENTS; RESPONSES; VARIABILITY; DEPOSITION; RADIATION</t>
  </si>
  <si>
    <t>We surveyed 14 ponds in 1999 and 28 ponds in 2000 to better understand the basic limnology of alpine ponds and to predict how the planktonic and epipelic (sediment-living) algal communities may respond to nutrient deposition and climate change. Based on nitrogen to phosphorus ratios, nitrogen limitation is likely common in these alpine ponds, which makes them particularly susceptible to current increases in atmospheric N deposition. Regression and redundancy analysis (RDA) showed phytoplankton abundance and community composition was best explained by total phosphorus (TP), pH, and conductivity. Epipelon abundance was best explained by nitrite plus nitrate and community composition was best explained by TP and dissolved organic carbon (DOC) in addition to nitrite plus nitrate. Some of these chemical variables, DOC, pH, and conductivity, have been linked to climate in alpine ponds and lakes and in low elevation takes, which suggests alpine ponds may be sensitive to climate change. However, because we found interannual variability in the environmental-algal relationships, several years of study may be required in order to make realistic predictions on how algal communities will respond to increasing nutrient deposition and climate change.</t>
  </si>
  <si>
    <t>Univ Alberta, Dept Biol Sci, Edmonton, AB T6G 2E9, Canada</t>
  </si>
  <si>
    <t>University of Alberta</t>
  </si>
  <si>
    <t>RR 4 N Wiltshire, Prince Edward Isl, ON C0A 1Y0, Canada.</t>
  </si>
  <si>
    <t>natmcmaster@pei.sympatico.ca</t>
  </si>
  <si>
    <t>Schindler, David/A-3752-2014</t>
  </si>
  <si>
    <t>10.1657/1523-0430(2005)037[0337:PAEACA]2.0.CO;2</t>
  </si>
  <si>
    <t>WOS:000231886800009</t>
  </si>
  <si>
    <t>Raymond, B; Watts, DJ; Burton, H; Bonnice, J</t>
  </si>
  <si>
    <t>Data mining and scientific data</t>
  </si>
  <si>
    <t>Data mining-the discovery of previously unknown information from a large collection of individual data sources-is becoming increasingly popular for scientific data archives. We describe an approach to data mining that uses spatial, temporal. and type constraints to obtain a broad list of data that are potentially related to it data set of interest. Tree- and spline-based multivariate regression and classification techniques are then used to identify functional relationships between the data. Expert knowledge is used to constrain and guide the model building and evaluation process. We demonstrate the approach by identifying relationships between indicators in a state of the Antarctic environment reporting database. Analyses of the fuel usage of electrical generators and boilers at Australia's Davis station yielded fuel usage dependencies on air temperature and wind speed that were in good accordance with known physical processes. The phenomenon of periodic haul-outs of large numbers of leopard seals on Macquarie Island was related to anomalies in regional sea ice cover and sea surface temperature.</t>
  </si>
  <si>
    <t>Australian Govt, Dept Environm &amp; Heritage, Australian Antarctic Div, Kingston, Tas 7050, Australia</t>
  </si>
  <si>
    <t>Raymond, B (corresponding author), Australian Govt, Dept Environm &amp; Heritage, Australian Antarctic Div, Channel Highway, Kingston, Tas 7050, Australia.</t>
  </si>
  <si>
    <t>10.1657/1523-0430(2005)037[0348:DMASD]2.0.CO;2</t>
  </si>
  <si>
    <t>WOS:000231886800010</t>
  </si>
  <si>
    <t>Rundel, PW; Gibson, AC; Sharifi, MR</t>
  </si>
  <si>
    <t>Plant functional groups in alpine fellfield habitats of the White Mountains, California</t>
  </si>
  <si>
    <t>DIVERSITY; PRODUCTIVITY; TEMPERATURE; DISTURBANCE; VEGETATION; GRASSLAND; RESPONSES; PATTERNS; LIGHT; FORMS</t>
  </si>
  <si>
    <t>An alpine fellfield community on granite substrate (elevation 3750 m) near the University of California Barcroft Laboratory in the White Mountains, of eastern California was studied during the 2000 growing season to determine whether classic perennial life forms can be treated as plant functional groups. A series of 1-m(2) quadrat samples were measured to determine common species. The four species with greatest cover were Penstemon heterodoxus var. heterodoxis. Trifolium andersonii var. heatleyae, Poa glauca subsp rupicola, and Eriogonum ovalifolium var. nivale. These and four additional common perennial species were selected for ecophysiological studies representing four distinct ecological life forms: chamaephytes. cushion plants (including mat formers), herbaceous dicot perennials, and graminoid perennials, Summer midday leaf temperatures for species with foliage held close to ground surface were up to 20 degrees C higher than air temperatures, whereas on upright species, leaves away from the ground surface closely matched ambient temperatures. For the eight species, peak values of mean maximum photosynthetic rates ranged from 11.5-25.5 mu mol CO2 m(-2) s(-1). typical of published values, although chamaephytes in the study showed higher rates comparable to herbaceous perennials. Water-use efficiency, as estimated by a ratio of internal to ambient CO2 was relatively high (c(i):c(a) ratios of 0.43-0.59) compared to published data. During the stressful end of the growing season, neither predawn nor midday shoot water potentials ever reached low levels, presenting conflicting evidence for the role of soil moisture as, a limiting factor. Overall, the data on plant functional attributes showed no strong patterns of differences between categories of life forms in the fellfield community, suggesting that classical life forms in this habitat do not represent plant functional groups.</t>
  </si>
  <si>
    <t>Univ Calif Los Angeles, Dept Ecol &amp; Evolut Biol, Los Angeles, CA 90095 USA; Univ Calif, White Mts Res Stn, Bishop, CA USA; Univ Calif Los Angeles, Ctr Embedded Networked Sensing, Los Angeles, CA USA</t>
  </si>
  <si>
    <t>University of California System; University of California Los Angeles; University of California System; University of California Los Angeles</t>
  </si>
  <si>
    <t>Univ Calif Los Angeles, Dept Ecol &amp; Evolut Biol, Los Angeles, CA 90095 USA.</t>
  </si>
  <si>
    <t>rundel@biology.ucla.edu</t>
  </si>
  <si>
    <t>10.1657/1523-0430(2005)037[0358:PFGIAF]2.0.CO;2</t>
  </si>
  <si>
    <t>WOS:000231886800011</t>
  </si>
  <si>
    <t>Scott, JJ; Kirkpatrick, JB</t>
  </si>
  <si>
    <t>Ganges in subantarctic heard island vegetation at sites occupied by Poa annua, 1987-2000</t>
  </si>
  <si>
    <t>KERGUELEN; INVASIONS</t>
  </si>
  <si>
    <t>Poa annua, the only alien plant species recorded on subantarctic Heard Island. considerably expanded its range and abundance along three transects in tundra-like vegetation on the island in the period 1987-2000. This expansion was strongly associated with increased seal disturbance, which also favored Callitriche antarctica and damaged Pringlea antiscorbutica, leading to a decrease in mean vegetation height. Expansions of Azorella selago and Poa cookii were independent of the expansion of P. annuaa. relating to colonization of moraines. There was no evidence of displacement of other taxa by Poa annua in areas undisturbed by seals.</t>
  </si>
  <si>
    <t>Univ Tasmania, Sch Geog &amp; Environm Studies, Hobart, Tas 7001, Australia</t>
  </si>
  <si>
    <t>Scott, JJ (corresponding author), Univ Tasmania, Sch Geog &amp; Environm Studies, Private Bag 78,GPO, Hobart, Tas 7001, Australia.</t>
  </si>
  <si>
    <t>Jenny.Scott@utas.edu.au</t>
  </si>
  <si>
    <t>Kirkpatrick, James/0000-0003-2763-2692</t>
  </si>
  <si>
    <t>10.1657/1523-0430(2005)037[0366:CISHIV]2.0.CO;2</t>
  </si>
  <si>
    <t>WOS:000231886800012</t>
  </si>
  <si>
    <t>Zielke, M; Solheim, B; Spjelkavik, S; Olsen, RA</t>
  </si>
  <si>
    <t>Nitrogen fixation in the high arctic: Role of vegetation and environmental conditions</t>
  </si>
  <si>
    <t>DESICCATION TOLERANCE; PLANT-COMMUNITIES; CYANOBACTERIA; ASSOCIATIONS; CRUSTS; FORMS; AREA</t>
  </si>
  <si>
    <t>The course of nitrogen fixation by moss-associated cyanobacteria in Svalbard (78 degrees N, 16 degrees E), Norway, was studied using the acetylene reduction assay, In situ field measurements of nitrogen fixation activity were conducted in six different types of moss-dominated arctic vegetation from the beginning of the snowmelt in early June to the end of July 1998. Concurrently, the water content of the soil/vegetation layer was determined and correlated with the nitrogen fixation rates. At all sites,, with diminishing water content during the summer season, nitrogen fixation activity was positively correlated with the amount of available water in the vegetation, At two sites, where water content of the vegetation was constantly higher than 80% (w/w) throughout the season. nitrogen fixation activity was correlated with temperature. Depending, oil the type of vegetation, nitrogen fixation became limited when the water status fell below a minimum threshold level, The most desiccation-tolerant vegetation for nitrogen fixation activity was the cryptobiotic crust. where nitrogen fixation decreased only after the water content of like soil/vegetation was less than 50% of the its fresh weight. while in the other types of vegetation nitrogen fixation stopped when water content was around 6014. The results front the present study confirm that, in arctic regions with low precipitation during the growing season. nitrogen fixation in different types of vegetation is mostly limited either to the period of snowmelt when water is sufficiently available. or to habitats that stay Wet during summer.</t>
  </si>
  <si>
    <t>Univ Tromso, Dept Biol, N-9037 Tromso, Norway; Univ Ctr Svalbard, N-9171 Longyearbyen, Norway; Norwegian Univ Life Sci, Dept Chem Biotechnol &amp; Food Sci, N-1432 As, Norway</t>
  </si>
  <si>
    <t>UiT The Arctic University of Tromso; University Centre Svalbard (UNIS); Norwegian University of Life Sciences</t>
  </si>
  <si>
    <t>Univ Tromso, Dept Biol, N-9037 Tromso, Norway.</t>
  </si>
  <si>
    <t>bjom.solheim@ib.uit.no</t>
  </si>
  <si>
    <t>10.1657/1523-0430(2005)037[0372:NFITHA]2.0.CO;2</t>
  </si>
  <si>
    <t>WOS:000231886800013</t>
  </si>
  <si>
    <t>Stinson, KA</t>
  </si>
  <si>
    <t>Effects of snowmelt timing and neighbor density on the altitudinal distribution of Potentilla diversifolia in western Colorado, USA</t>
  </si>
  <si>
    <t>GROWING-SEASON LENGTH; ALPINE-NIVAL ECOTONE; PLANT-DISTRIBUTION; EXPERIMENTAL MANIPULATIONS; INTERSPECIFIC COMPETITION; TUNDRA PLANTS; LONG-TERM; TEMPERATURE; VEGETATION; RESPONSES</t>
  </si>
  <si>
    <t>Range limits of temperate high-attitude plants may be controlled by tradeoffs between physically severe but uncrowded conditions, versus mild but crowded conditions. Because up-slope migration of lowland species may accompany global warming and earlier snowmelt, I tested whether crowding by neighbors vs. timing of snowmelt limit Potentilla diversifolia to later-melting sites in the Rocky Mountains (U.S.A.). I transplanted individuals from two altitudes to experimental plots within and below the species' range limit, and experimentally altered snowmelt timing and the density of neighboring vegetation. In contrast to theoretical predictions for biotic control of lower range limits, higher temperatures and drier soils contributed to markedly reduced survivorship and reproduction below the native-range regardless of treatment. Neighbor removal only marginally increased performance both within and below the native-range, suggesting that interactions with neighboring vegetation are much less important for distribution than abiotic factors. Populations from the subalpine zone had longer growth intervals and grew larger than those from the alpine tundra in their native sites, but did not outperform alpine tundra populations when grown below the species' range. Although earlier snowmelt enhances growth, phenotypic plasticity may enable P. diversifolia to persist in later-melting tundra sites while higher temperatures and drought restrict it from much of the subalpine zone.</t>
  </si>
  <si>
    <t>Princeton Univ, Princeton, NJ 08544 USA; Rocky Mt Biol Labs, Crested Butte, CO 81224 USA</t>
  </si>
  <si>
    <t>Princeton University</t>
  </si>
  <si>
    <t>Stinson, KA (corresponding author), Princeton Univ, Princeton, NJ 08544 USA.</t>
  </si>
  <si>
    <t>kstinson@oeb.harvard.edu</t>
  </si>
  <si>
    <t>10.1657/1523-0430(2005)037[0379:EOSTAN]2.0.CO;2</t>
  </si>
  <si>
    <t>WOS:000231886800014</t>
  </si>
  <si>
    <t>Stoffel, M; Lièvre, I; Conus, D; Grichting, MA; Raetzo, H; Gärtner, HW; Monbaron, M</t>
  </si>
  <si>
    <t>400 years of debris-flow activity and triggering weather conditions:: Ritigraben, Valais, Switzerland</t>
  </si>
  <si>
    <t>MOUNTAIN REGIONS; CLIMATIC-CHANGE; SWISS ALPS; IMPACTS</t>
  </si>
  <si>
    <t>Three major rainfall events have caused considerable damage in the Valais region (Swiss Alps) since 1987. Substantial debris flows originating from periglacial environments were recorded during the August 1987 and September 1993 rainfall events, whereas no debris flows occurred in October 2000. This paper aims at putting these large-area events and the apparent increase in debris-flow frequency into a wider context by reconstructing the past debris-flow activity in the Ritigraben torrent (Mattertal, Valais) with dendrogeomorphological methods. Tree-ring analysis allowed the reconstruction of 53 events, going back to the year 1605. Previously, only 10 debris flows had been known for the torrent, and these were limited to the period between 1922 and 2002. Results further show that the apparently above-average concentration of events since 1987 was mainly caused by insufficient and short archival data. In fact, debris flows occurred even more frequently in the nineteenth century than they do today. The spatial distribution of injured trees in particular years further indicates that significant events, like the one in 1993, always occurred in the torrent. Finally, reconstructed event years were compared with archival data on flooding in neighboring catchments. The comparisons prove that large-area events like those in 1987, 1993, or 2000 have at least been as common in the past as they are today.</t>
  </si>
  <si>
    <t>Univ Fribourg, Dept Geosci, CH-1700 Fribourg, Switzerland; FOWG, Swiss Fed Off Water &amp; Geol, CH-2503 Biel, Switzerland; WSL, Swiss Fed Inst Forest Snow &amp; Landscape Res, CH-8903 Birmensdorf, Switzerland</t>
  </si>
  <si>
    <t>University of Fribourg; Swiss Federal Institutes of Technology Domain; Swiss Federal Institute for Forest, Snow &amp; Landscape Research</t>
  </si>
  <si>
    <t>Univ Fribourg, Dept Geosci, CH-1700 Fribourg, Switzerland.</t>
  </si>
  <si>
    <t>markus.stoffel@unifr.ch</t>
  </si>
  <si>
    <t>Stoffel, Markus/A-1793-2017; Gärtner, Holger W./J-7887-2013</t>
  </si>
  <si>
    <t>Stoffel, Markus/0000-0003-0816-1303; Gärtner, Holger W./0000-0001-6243-9578</t>
  </si>
  <si>
    <t>10.1657/1523-0430(2005)037[0387:YODAAT]2.0.CO;2</t>
  </si>
  <si>
    <t>WOS:000231886800015</t>
  </si>
  <si>
    <t>Weiss, M; Hobbie, SE; Gettel, GM</t>
  </si>
  <si>
    <t>Contrasting responses of nitrogen-fixation in arctic lichens to experimental and ambient nitrogen and phosphorus availability</t>
  </si>
  <si>
    <t>TUNDRA; N-2-FIXATION; ACCUMULATION; LIMITATION; BIOMASS; RATES</t>
  </si>
  <si>
    <t>We investigated the influence of nitrogen (N) and phosphorus (P) on N-2-fixation and abundance of two of the most common N-2-fixing arctic lichens, Peltigera aphthosa and P. polydactyla in two common moist upland tundra types. acidic and non-acidic tundra, at Toolik Lake. Alaska. Acidic tundra has higher N and lower P availability than lion-acidic tundra. We measured the abundance of the lichen,, in control (no fertilization), N- and P-fertilized plots, and N-2-fixation using the acetylene reduction assay method on lichens from control and p-fertilized plots from both tundra types, Lichens on N-treated plots were too scarce to include in our N-2-fixation estimates, Lichen abundance was lower in plots fertilized with N than in control and P-fertilized plots, while per-biomass N-2-fixation rates were higher in P-fertilized plots than in control plots, Per-biomass rates of N-2-fixation did not differ between acidic and non-acidic tundra, but both lichen species are more abundant on acidic tundra. Thus, despite per-biomass stimulation of N2-fixation by experimental P addition and reduction in lichen abundance with N fertilization. Peltigera contributes more N to the acidic tundra site, indicating that soil N and P availability ire not the primary controls of N-2-fixation and abundance of these lichens.</t>
  </si>
  <si>
    <t>Univ Minnesota, Dept Ecol Evolut &amp; Behav, St Paul, MN 55108 USA; Cornell Univ, Dept Ecol &amp; Evolut Biol, Ithaca, NY 14853 USA</t>
  </si>
  <si>
    <t>University of Minnesota System; University of Minnesota Twin Cities; Cornell University</t>
  </si>
  <si>
    <t>Univ Minnesota, Dept Ecol Evolut &amp; Behav, 1987 Upper Buford Circle, St Paul, MN 55108 USA.</t>
  </si>
  <si>
    <t>msw27@cornell.edu</t>
  </si>
  <si>
    <t>Gettel, Gretchen/M-8983-2013</t>
  </si>
  <si>
    <t>Gettel, Gretchen/0000-0002-9288-1583; Hobbie, Sarah/0000-0001-5159-031X</t>
  </si>
  <si>
    <t>10.1657/1523-0430(2005)037[0396:CRONIA]2.0.CO;2</t>
  </si>
  <si>
    <t>WOS:000231886800016</t>
  </si>
  <si>
    <t>Zacharda, M; Gude, M; Kraus, S; Hauck, C; Molenda, R; Ruzicka, V</t>
  </si>
  <si>
    <t>The relict mite Rhagidia gelida (Acari, Rhagidiidae) as a biological cryoindicator of periglacial microclimate in European highland screes</t>
  </si>
  <si>
    <t>KRKONOSE MOUNTAINS; PROSTIGMATA; ARTHROPODS; PATTERNS</t>
  </si>
  <si>
    <t>The periglacial temperature regime in cool scree slopes located at subalpine altitudes of only 300-600 m a.s.l. in the Czech highlands is described and proved by the occurrence of a relict population of the predatory mite Rhagidia gelida Thorell (Acari. Prostigmata. Rhagidiidae). The mite has a circum-boreal pattern of distribution today, but its disjunct populations have an island-like pattern of distribution in the cool screes in the Czech highlands. R. gelida is univoltine. freezing intolerant. and considered a biological cryoindicator of the periglacial microclimate. As coolness is needed for R, gelida to survive in the cool screes, it is concluded that the scree slope patchy permafrost-like habitats have lasted continuously, perhaps persisting in modified from as paleorfugia, since the Pleistocene.</t>
  </si>
  <si>
    <t>Acad Sci Czech Republ, Inst Landscape Ecol, CZ-37005 Ceske Budejovice, Czech Republic; Univ Jena, Dept Geog, D-07743 Jena, Germany; Univ Karlsruhe, Dept Meteorol, Inst Meteorol &amp; Climate Res, D-76128 Karlsruhe, Germany; Univ Basel, NLU, CH-4056 Basel, Switzerland; Acad Sci Czech Republ, Inst Entomol, CZ-37005 Ceske Budejovice, Czech Republic</t>
  </si>
  <si>
    <t>Czech Academy of Sciences; Friedrich Schiller University of Jena; Helmholtz Association; Karlsruhe Institute of Technology; University of Basel; Czech Academy of Sciences; Biology Centre of the Czech Academy of Sciences</t>
  </si>
  <si>
    <t>Acad Sci Czech Republ, Inst Landscape Ecol, Na Sadkach 7, CZ-37005 Ceske Budejovice, Czech Republic.</t>
  </si>
  <si>
    <t>zacharda@dale.uek.cas.cz; martin.gude@geogr.uni-jena.de; csd@geogr.uni-jena.de; hauck@imb.uni-karlsruhe.de; roland.molenda@unibas.ch; vruz@entu.cas.cz</t>
  </si>
  <si>
    <t>Ruzicka, Vlastimil/G-6831-2014</t>
  </si>
  <si>
    <t>Hauck, Christian/0000-0003-4488-6475</t>
  </si>
  <si>
    <t>10.1657/1523-0430(2005)037[0402:TRMRGA]2.0.CO;2</t>
  </si>
  <si>
    <t>WOS:000231886800017</t>
  </si>
  <si>
    <t>Biondi, F; Hartsough, PC; Estrada, IG</t>
  </si>
  <si>
    <t>Daily weather and tree growth at the tropical treeline of North America (vol 37, pg 16, 2002)</t>
  </si>
  <si>
    <t>Biondi, Franco/G-2536-2010; Hartsough, Peter C./B-6104-2008</t>
  </si>
  <si>
    <t>Biondi, Franco/0000-0003-0651-104X;</t>
  </si>
  <si>
    <t>WOS:000231886800018</t>
  </si>
  <si>
    <t>Chisham, G</t>
  </si>
  <si>
    <t>New proxy for reconnection</t>
  </si>
  <si>
    <t>DMSP; CUSP</t>
  </si>
  <si>
    <t>Chisham, G (corresponding author), British Antarctic Survey, Madingley Rd, Cambridge CB3 0ET, England.</t>
  </si>
  <si>
    <t>MALDEN</t>
  </si>
  <si>
    <t>COMMERCE PLACE, 350 MAIN ST, MALDEN 02148, MA USA</t>
  </si>
  <si>
    <t>10.1111/j.1468-4004.2005.46423.x</t>
  </si>
  <si>
    <t>953GA</t>
  </si>
  <si>
    <t>WOS:000231063400014</t>
  </si>
  <si>
    <t>Wang, QF; Miao, JL; Hou, YH; Ding, Y; Wang, GD; Li, GY</t>
  </si>
  <si>
    <t>Purification and characterization of an extracellular cold-active serine protease from the psychrophilic bacterium Colwellia sp NJ341</t>
  </si>
  <si>
    <t>Antarctic; cold-active serine protease; Colwellia; psychrophilic bacteria</t>
  </si>
  <si>
    <t>ENZYMES</t>
  </si>
  <si>
    <t>Colwellia sp. NJ341, isolated from Antarctic sea ice, secreted a cold-active serine protease. The purified protease had an apparent Mr of 60 kDa by SDS-PAGE and MALDI-TOF MS. It was active from pH 5-12 with maximum activity at 35 degrees C (assayed over 10 min). Activity at 0 degrees C was nearly 30% of the maximum activity. It was completely inhibited by phenylmethylsulfonyl fluoride.</t>
  </si>
  <si>
    <t>Ocean Univ China, Coll Life Sci, Qingdao 266003, Peoples R China; State Ocean Adm, Inst Oceanog 1, Key Lab Marine Bioact Subst, Qingdao 266061, Peoples R China; Harbin Inst Technol, Weihai 264209, Peoples R China</t>
  </si>
  <si>
    <t>Ocean University of China; First Institute of Oceanography, Ministry of Natural Resources; Harbin Institute of Technology</t>
  </si>
  <si>
    <t>Ocean Univ China, Coll Life Sci, Qingdao 266003, Peoples R China.</t>
  </si>
  <si>
    <t>10.1007/s10529-005-0016-x</t>
  </si>
  <si>
    <t>964CO</t>
  </si>
  <si>
    <t>WOS:000231856500008</t>
  </si>
  <si>
    <t>Simstich, J; Erlenkeuser, H; Harms, I; Spielhagen, RF; Stanovoy, V</t>
  </si>
  <si>
    <t>Modern and Holocene hydrographic characteristics of the shallow Kara Sea shelf (Siberia) as reflected by stable isotopes of bivalves and benthic foraminifera</t>
  </si>
  <si>
    <t>BOREAS</t>
  </si>
  <si>
    <t>RIVER DISCHARGE; ARCTIC-OCEAN; EAST GREENLAND; MOLLUSK SHELLS; FRESH-WATER; VARIABILITY; PROFILES; OXYGEN; RECORD; CIRCULATION</t>
  </si>
  <si>
    <t>River discharge of Ob and Yenisei to the Kara Sea is highly variable on seasonal and interannual time scales. River water dominates the shallow bottom water near the river mouths, making it warmer and less saline but seasonally and interannually more changeable than bottom water on the deeper shelf. This hydrographic pattern shows up in measurements and modelling, and in stable isotope records (delta O-18, delta C-13) along the growth axis of bivalve shells and in multiple analyses of single benthic foraminiferal shells. Average isotope ratios increase, but sample-internal variability decreases with water depth and distance from river mouths. However, isotope records of bivalves and foraminifera of a sediment core from a former submarine channel of Yenisei River reveal a different pattern. The retreat of the river mouth from this site due to early Holocene sea level rise led to increasing average isotope values up core, but not to the expected decrease of the in-sample isotope variability. Southward advection of cold saline water along the palaeo-river channel probably obscured the hydrographic variability during the early Holocene. Later, when sediment filled the channel, the hydrographic variability at the core location remained low, because the shallowing proceeded synchronously with the retreat of the river mouth.</t>
  </si>
  <si>
    <t>Univ Cambridge, Dept Earth Sci, Cambridge CB2 3EQ, England; Leibniz Inst Marine Sci Kiel, IFM GEOMAR, D-24148 Kiel, Germany; Univ Kiel, Leibniz Lab Radiometr Dating &amp; Stable Isotope Res, D-24118 Kiel, Germany; Univ Hamburg, Inst Oceanog, D-22146 Hamburg, Germany; Leibniz Inst Marine Sci Kiel, Acad Sci Humanities &amp; Literature Mainz, D-24148 Kiel, Germany; Arctic &amp; Antarctic Res Inst, St Petersburg 199397, Russia</t>
  </si>
  <si>
    <t>University of Cambridge; Helmholtz Association; GEOMAR Helmholtz Center for Ocean Research Kiel; University of Kiel; University of Hamburg; Helmholtz Association; GEOMAR Helmholtz Center for Ocean Research Kiel; Arctic &amp; Antarctic Research Institute</t>
  </si>
  <si>
    <t>Univ Cambridge, Dept Earth Sci, Cambridge CB2 3EQ, England.</t>
  </si>
  <si>
    <t>jsim03@esc.cam.ac.uk</t>
  </si>
  <si>
    <t>0300-9483</t>
  </si>
  <si>
    <t>1502-3885</t>
  </si>
  <si>
    <t>Boreas</t>
  </si>
  <si>
    <t>10.1080/03009480510013015</t>
  </si>
  <si>
    <t>945MA</t>
  </si>
  <si>
    <t>WOS:000230505400002</t>
  </si>
  <si>
    <t>Schwarz, WH; Trieloff, M; Altherr, R</t>
  </si>
  <si>
    <t>Subduction of solar-type noble gases from extraterrestrial dust: constraints from high-pressure low-temperature metamorphic deep-sea sediments</t>
  </si>
  <si>
    <t>CONTRIBUTIONS TO MINERALOGY AND PETROLOGY</t>
  </si>
  <si>
    <t>BLUESCHIST-FACIES MINERALS; OXIDIZED LOW-GRADE; ENERGETIC PARTICLES; EXCESS HE-3; ANTARCTIC MICROMETEORITES; SIFNOS CYCLADES; THERMAL HISTORY; NEON ISOTOPES; LUNAR SOIL; HELIUM</t>
  </si>
  <si>
    <t>Solar-type helium (He) and neon (Ne) in the Earth's mantle were suggested to be the result of solar-wind loaded extraterrestrial dust that accumulated in deep-sea sediments and was subducted into the Earth's mantle. To obtain additional constraints on this hypothesis, we analysed He, Ne and argon (Ar) in high pressure-low temperature metamorphic rocks representing equivalents of former pelagic clays and cherts from Andros (Cyclades, Greece) and Laytonville (California, USA). While the metasediments contain significant amounts of He-4, Ne-21 and Ar-40 due to U, Th and K decay, no solar-type primordial noble gases were observed. Most of these were obviously lost during metamorphism preceding 30 kin subduction depth. We also analysed magnetic fines from two Pacific ODP drillcore samples, which contain solar-type He and Ne dominated by solar energetic particles (SEP). The existing noble gas isotope data of deep-sea floor magnetic fines and interplanetary dust particles demonstrate that a considerable fraction of the extraterrestrial dust reaching the Earth has lost solar wind (SW) ions implanted at low energies, leading to a preferential occurrence of deeply implanted SEP He and Ne, fractionated He/Ne ratios and measurable traces of spallogenic isotopes. This effect is most probably caused by larger particles, as these suffer more severe atmospheric entry heating and surface ablation. Only sufficiently fine-grained dust may retain the original unfractionated solar composition that is characteristic for the Earth's mantle He and Ne. Hence, in addition to the problem of metamorphic loss of solar noble gases during subduction, the isotopic and elemental fractionation during atmospheric entry heating is a further restriction for possible subduction hypotheses.</t>
  </si>
  <si>
    <t>Heidelberg Univ, Inst Mineral, D-69120 Heidelberg, Germany</t>
  </si>
  <si>
    <t>Ruprecht Karls University Heidelberg</t>
  </si>
  <si>
    <t>Heidelberg Univ, Inst Mineral, Neuenheimer Feld 236, D-69120 Heidelberg, Germany.</t>
  </si>
  <si>
    <t>winfried.schwarz@urz.uni-hd.de</t>
  </si>
  <si>
    <t>0010-7999</t>
  </si>
  <si>
    <t>1432-0967</t>
  </si>
  <si>
    <t>CONTRIB MINERAL PETR</t>
  </si>
  <si>
    <t>Contrib. Mineral. Petrol.</t>
  </si>
  <si>
    <t>10.1007/s00410-005-0671-x</t>
  </si>
  <si>
    <t>959LK</t>
  </si>
  <si>
    <t>WOS:000231519000004</t>
  </si>
  <si>
    <t>Casadío, S; Griffin, M; Parras, A</t>
  </si>
  <si>
    <t>Camptonectes and Plicatula (Bivalvia, Pteriomorphia) from the Upper Maastrichtian of northern Patagonia:: palaeobiogeographic implications</t>
  </si>
  <si>
    <t>bivalvia; Plicatula; Camptonectes; palaeobiogeography; taxonomy; Maastrichtian; Patagonia; Argentina</t>
  </si>
  <si>
    <t>SUPERFAMILY PECTINACEA MOLLUSCA; CRETACEOUS/TERTIARY BOUNDARY; SOUTHWESTERN PATAGONIA; CHATHAM ISLANDS; GASTROPODS; PACIFIC; MORPHOLOGY; ARGENTINA; EVENT</t>
  </si>
  <si>
    <t>Maastrichtian shallow marine strata in the Southern Hemisphere yield a characteristic cool-water molluscan fauna, used to define the Weddellian Province. These short-lived molluscan assemblages started to disintegrate during the final phase in Gondwana breakup (Cretaceous/Paleogene); however, some of its elements persisted well into the Cenozoic and are even found in extant faunas of circum-Antarctic shelf regions. In southern South America, the Weddellian Province reached as far north as the Neuquen Basin (west-central Argentina), where numerous austral taxa are known from marine Cretaceous and Paleocene rocks. However, some of these taxa show no austral affinities at all, and appear more closely related to northerly groups then living in relatively warm waters. This explains the mixed character of the Neuquen Basin fauna, particularly in the latest Cretaceous. Two species of warm-water bivalves from the Late Maastrichtian Jaguel and Roca formations in northern Patagonia, Plicatula georgiana Fritzsche, 1919 and Camptonectes tutorae sp. nov., provide additional evidence for this mixed character, and reflect the influence of higher temperatures spreading south. These two taxa are here compared with similar species from Upper Cretaceous (and younger) rocks in other parts of the world, and their palaeobiogeographic affinities are discussed. The issue of global sea warming recorded during the latest Maastrichtian is also addressed. (c) 2005 Elsevier Ltd. All rights reserved.</t>
  </si>
  <si>
    <t>Univ Nacl La Pampa, RA-6300 Santa Rosa, La Pampa, Argentina</t>
  </si>
  <si>
    <t>Univ Nacl La Pampa, Uruguay 151, RA-6300 Santa Rosa, La Pampa, Argentina.</t>
  </si>
  <si>
    <t>scasadio@cpenet.com.ar</t>
  </si>
  <si>
    <t>Casadio, Silvio/A-5131-2010</t>
  </si>
  <si>
    <t>10.1016/j.cretres.2005.01.009</t>
  </si>
  <si>
    <t>978LC</t>
  </si>
  <si>
    <t>WOS:000232873700001</t>
  </si>
  <si>
    <t>Newsham, KK; Geissler, P; Nicolson, M; Peat, HJ; Lewis-Smith, RI</t>
  </si>
  <si>
    <t>Sequential reduction of UV-B radiation in the field alters the pigmentation of an Antarctic leafy liverwort</t>
  </si>
  <si>
    <t>ENVIRONMENTAL AND EXPERIMENTAL BOTANY</t>
  </si>
  <si>
    <t>anthocyanin; Cephaloziella varians; chlorophyll; stratospheric ozone depletion; UV-B screening pigments</t>
  </si>
  <si>
    <t>STRATOSPHERIC OZONE DEPLETION; COLOBANTHUS-QUITENSIS; VASCULAR PLANTS; GENE-EXPRESSION; PHOTOSYNTHESIS; GROWTH</t>
  </si>
  <si>
    <t>UV-B radiation (280-315 nm), incident on the leafy liverwort Cephaloziella varians growing at Rothera Point on the Western Antarctic Peninsula, was manipulated in late austral spring 1998 by screens consisting of a novel combination of Plexiglas panes and polyester sheets. The screens transmitted approximately 79, 68, 48, 41 and 31% of daily UV-B radiation dose. Plants from under and outside the screens were sampled seven times over 35 days. Correlative analyses indicated that concentrations of an anthocyanin-like pigment located in leaf tips were positively associated with UV-B transmission at the last two samplings, that concentrations of total chlorophylls were negatively associated with UV-B transmission at the final sampling, and that those of UV-B screening pigments were positively correlated with transmission at three intermediate samplings. Plants exposed to low UV-B transmission levels were visibly greener than those exposed to high transmission levels after approximately 23 days. The closest relationships between the treatment and concentrations of UV-B screening pigments were associated with increased ambient biologically weighted UV-B dose received by plants in the 5.5 h before each sampling, which coincided with the passage of the ozone hole over Rothera Point. As C. varians emerged from melting snow and ice, concentrations of the anthocyanin-like pigment and chlorophyll respectively increased and decreased faster in plants exposed to high transmission levels of UV-B, relative to those exposed to low UV-B transmission levels. (c) 2004 Elsevier B.V. All rights reserved.</t>
  </si>
  <si>
    <t>British Antarctic Survey, NERC, Cambridge CB3 0ET, England.</t>
  </si>
  <si>
    <t>kne@bas.ac.uk</t>
  </si>
  <si>
    <t>Peat, Helen J/E-9666-2015; Newsham, Kevin K/C-4192-2011</t>
  </si>
  <si>
    <t>0098-8472</t>
  </si>
  <si>
    <t>1873-7307</t>
  </si>
  <si>
    <t>ENVIRON EXP BOT</t>
  </si>
  <si>
    <t>Environ. Exp. Bot.</t>
  </si>
  <si>
    <t>10.1016/j.envexpbot.2004.05.006</t>
  </si>
  <si>
    <t>Plant Sciences; Environmental Sciences</t>
  </si>
  <si>
    <t>Plant Sciences; Environmental Sciences &amp; Ecology</t>
  </si>
  <si>
    <t>941TP</t>
  </si>
  <si>
    <t>WOS:000230237400003</t>
  </si>
  <si>
    <t>Abell, GCJ; Bowman, JP</t>
  </si>
  <si>
    <t>Colonization and community dynamics of class Flavobacteria on diatom detritus in experimental mesocosms based on Southern Ocean seawater</t>
  </si>
  <si>
    <t>FEMS MICROBIOLOGY ECOLOGY</t>
  </si>
  <si>
    <t>seawater; Southern Ocean; DGGE; Flavobacteria; Cytophaga-Flavobacterium-Bacteroides group; biogeography; psychrophilic bacteria</t>
  </si>
  <si>
    <t>HIGH-MOLECULAR-WEIGHT; SEA-ICE; PHYLOGENETIC DIVERSITY; BACTERIAL-COLONIZATION; MARINE-SNOW; BACTERIOPLANKTON; PHYTOPLANKTON; ASSEMBLAGES; SILICA; MICROORGANISMS</t>
  </si>
  <si>
    <t>In order to better understand the ecology of microorganisms responsible for secondary production in the Southern Ocean the activity of Flavobacteria communities on diatom detritus in seawater mesocosms was investigated. Seawater was collected from different parts of the Southern Ocean including the Polar Front Zone (PFZ), ice-edge area of the Antarctic Zone (AZ), and a site in the AZ ice pack. Detritus from the cosmopolitan marine diatom Nitzschia closterium Ehrenberg was resuspended in mesocosms containing seawater filtered to remove particulate organic matter, including particle- associated bacteria and most eukaryotes, but retaining native planktonic bacterial assemblages. Mesocosms were incubated at 2 degrees C and samples analysed for changes in community composition using denaturing gradient gel electrophoresis (DGGE), real-time PCR and fluorescent in-situ hybridization (FISH). DGGE banding patterns and FISH images demonstrated rapid bacterial colonization of the detritus, dominated by members of class gamma-Proteobacteria, alpha-Proteobacteria and Flavobacteria. Real-time PCR data indicated members of class Flavobacteria were involved in initial colonization of detrital aggregate, however relative abundance stayed at similar levels found for the original native particle- associated populations. 16S rRNA gene DGGE banding patterns and sequence analysis demonstrated significant variation in Flavobacteria community structure occurred in the first 20 days of the experiment before community stabilization occurred. The community structures between the three mesocosms also markedly differed and major colonizers were primarily derived from detectable members of the initial particle-associated Flavobacteria community, however the abundant uncultured Flavobacteria agg58 clone-related and DE cluster 2 clades, previously identified in Southern Ocean seawater were not observed to colonize the detritus. (c) 2005 Federation of European Microbiological Societies. Published by Elsevier B.V. All rights reserved.</t>
  </si>
  <si>
    <t>Univ Tasmania, Sch Agr Sci, Hobart, Tas 7001, Australia</t>
  </si>
  <si>
    <t>john.bowman@utas.edu.au</t>
  </si>
  <si>
    <t>Bowman, John P/C-2414-2014; Bowman, John P./ABF-5108-2020; Abell, Guy C J/A-1767-2010</t>
  </si>
  <si>
    <t>Bowman, John P/0000-0002-4528-9333; Bowman, John P./0000-0002-4528-9333;</t>
  </si>
  <si>
    <t>0168-6496</t>
  </si>
  <si>
    <t>1574-6941</t>
  </si>
  <si>
    <t>FEMS MICROBIOL ECOL</t>
  </si>
  <si>
    <t>FEMS Microbiol. Ecol.</t>
  </si>
  <si>
    <t>AUG 1</t>
  </si>
  <si>
    <t>10.1016/j.femsec.2005.01.008</t>
  </si>
  <si>
    <t>950ML</t>
  </si>
  <si>
    <t>WOS:000230861300006</t>
  </si>
  <si>
    <t>Madan, NJ; Marshall, WA; Laybourn-Parry, J</t>
  </si>
  <si>
    <t>Virus and microbial loop dynamics over an annual cycle in three contrasting Antarctic lakes</t>
  </si>
  <si>
    <t>FRESHWATER BIOLOGY</t>
  </si>
  <si>
    <t>Antarctic; community dynamics; microbial loop; saline lakes; viruses</t>
  </si>
  <si>
    <t>MARINE VIRUSES; POPULATION-DYNAMICS; ABUNDANCE; PARTICLES; LYSOGENY; BACTERIA; VIRIOPLANKTON; MORTALITY; SEAWATER; SUNLIGHT</t>
  </si>
  <si>
    <t>1. Viral and microbial loop dynamics were investigated over an annual cycle in three contrasting saline Antarctic lakes - Highway Lake (salinity 4 parts per thousand), Pendant Lake (salinity 19 parts per thousand) and Ace Lake, a meromictic system (with a mixolimnion salinity of 18 parts per thousand) in order to assess the importance of viruses in extreme, microbially dominated systems. 2. Virus like particles (VLP) showed no clear seasonal pattern, with high concentrations occurring in both winter and summer (range 0.89 x 10(7) +/- 0.038 to 12.017 x 10(7) +/- 1.28 mL(-1)). VLP abundances reflected lake productivity based on chlorophyll a concentrations. Bacterial abundances and biomass did not correlate with VLP numbers except in Pendant Lake, the most productive of the three lakes studied. 3. Pendant Lake supported the highest bacterial biomass (range Highway: 18.44 +/- 1.35 to 59.43 +/- 2.80 ng C mL(-1); Ace: 14.42 +/- 2.69 to 68.39 +/- 2.95 ng C mL(-1); Pendant: 31.36 +/- 3.94 to 115.95 +/- 4.49 ng C mL(-1)) so that virus to bacteria ratios (VBR) (range 30.48 +/- 7.96 to 96.67 +/- 8.21) were higher in Ace Lake (range 30.58 +/- 3.98 to 80.037 +/- 1.60) and Highway Lake (range 18.63 +/- 3.12 to 126.74 +/- 6.50). 4. Negative correlations occurred between VLP and cryptophytes (dominant phototrophic nanoflagellates), suggesting that they were not hosts to lytic viruses. Among the other protists only the heterotrophic nanoflagellates of Highway Lake (dominated by the marine choanoflagellate Diaphanoeca grandis) showed a positive correlation with VLP. 5. The VLP was negatively correlated with photosynthetically active radiation (PAR) and temperature, both of which increased with ice thinning and breakout, increasing viral decay. In winter VLP probably persisted in cold, dark water. 6. High VLP concentrations and high VBR (values at the upper end of those reported for marine and lacustrine systems) indicated that viruses, most of which were probably bacteriophage, are a major element within the microbial communities in extreme, saline lakes.</t>
  </si>
  <si>
    <t>Univ Nottingham, Sch Biosci, Nottingham NG7 2RD, England</t>
  </si>
  <si>
    <t>University of Nottingham</t>
  </si>
  <si>
    <t>Univ Nottingham, Sch Biosci, Univ Pk, Nottingham NG7 2RD, England.</t>
  </si>
  <si>
    <t>j.laybourn-parry@nottingham.ac.uk</t>
  </si>
  <si>
    <t>0046-5070</t>
  </si>
  <si>
    <t>1365-2427</t>
  </si>
  <si>
    <t>FRESHWATER BIOL</t>
  </si>
  <si>
    <t>Freshw. Biol.</t>
  </si>
  <si>
    <t>10.1111/j.1365-2427.2005.01399.x</t>
  </si>
  <si>
    <t>946MN</t>
  </si>
  <si>
    <t>WOS:000230576500001</t>
  </si>
  <si>
    <t>Regha, K; Satapathy, AK; Ray, MK</t>
  </si>
  <si>
    <t>RecD plays an essential function during growth at low temperature in the antarctic bacterium Pseudomonas syringae Lz4W</t>
  </si>
  <si>
    <t>GENETICS</t>
  </si>
  <si>
    <t>COMPLETE GENOME SEQUENCE; GRAM-NEGATIVE BACTERIA; ESCHERICHIA-COLI K-12; RECBCD ENZYME; POLYNUCLEOTIDE PHOSPHORYLASE; EXONUCLEASE-V; DNA HELICASE; RECOMBINATION; GENE; ADAPTATION</t>
  </si>
  <si>
    <t>The Antarctic psychrotrophic bacterium Pseudomonas syringae Lz4W has been used as a model system to identify genes that are required for growth at low temperature. Transposon mutagenesis was carried out to isolate mutant(s) of the bacterium that are defective for growth at 4 degrees but normal at 22 degrees. In one such cold-sensitive mutant (CS1), the transposon-disrupted gene was identified to be a homolog of the recD gene of several bacteria. Trans-complementation and freshly targeted gene disruption studies reconfirmed that the inactivation of the recD gene leads to a cold-sensitive phenotype. We cloned, sequenced, and analyzed similar to 11.2 kbp of DNA from recD and its flanking region from the bacterium. recD was the last gene of a putative recCBD operon. The RecD ORF was 694 amino acids long and 40% identical (52% similar) to the Escherichia coli protein, and it could complement the E. coli recD mutation. The recD gene of E. coli, however, could not complement the cold-sensitive phenotype of the CS1 mutant. Interestingly, the CS1 strain showed greater sensitivity toward the DNA-damaging agents, mitomycin C and UV. The inactivation of recD in P. syringae also led to cell death and accumulation of DNA fragments of similar to 25-30 kbp in size at low temperature (4 degrees). We propose that during growth at a very low temperature the Antarctic P. syringue is subjected to DNA damage, which requires direct participation of a unique RecD function. Additional results suggest that a truncated recD encoding the N-terminal segment of (1-576) amino acids is sufficient to support growth of P. syringae at low temperature.</t>
  </si>
  <si>
    <t>Ctr Cellular &amp; Mol Biol, Hyderabad 500007, Andhra Pradesh, India</t>
  </si>
  <si>
    <t>Council of Scientific &amp; Industrial Research (CSIR) - India; CSIR - Centre for Cellular &amp; Molecular Biology (CCMB)</t>
  </si>
  <si>
    <t>Ctr Cellular &amp; Mol Biol, Uppal Rd, Hyderabad 500007, Andhra Pradesh, India.</t>
  </si>
  <si>
    <t>malay@ccmb.res.in</t>
  </si>
  <si>
    <t>GENETICS SOCIETY AMERICA</t>
  </si>
  <si>
    <t>9650 ROCKVILLE AVE, BETHESDA, MD 20814 USA</t>
  </si>
  <si>
    <t>0016-6731</t>
  </si>
  <si>
    <t>1943-2631</t>
  </si>
  <si>
    <t>Genetics</t>
  </si>
  <si>
    <t>10.1534/genetics.104.038943</t>
  </si>
  <si>
    <t>966PO</t>
  </si>
  <si>
    <t>WOS:000232033300004</t>
  </si>
  <si>
    <t>Conti, SG; Demer, DA; Brierley, AS</t>
  </si>
  <si>
    <t>Broad-bandwidth, sound scattering, and absorption from krill (Meganyctiphanes norvegica), mysids (Praunus flexuosus and Neomysis integer), and shrimp (Crangon crangon)</t>
  </si>
  <si>
    <t>acoustic scatter; Born approximation model; distorted-wave; modelling; stochastic; total cross-section; total target strength</t>
  </si>
  <si>
    <t>WAVE BORN APPROXIMATION; TOTAL TARGET STRENGTH; ANTARCTIC KRILL; SCOTIA SEA; REVERBERATION; ORIENTATION; BIOMASS; CAVITY; MODEL; TANK</t>
  </si>
  <si>
    <t>Sound scattering and absorption by Northern krill (Meganyctiphanes norvegica) were measured over the acoustic bandwidth of 30-210 kHz and compared with similar scattering measurements for Antarctic krill (Euphausia superba). The measurements of total target strength (TTS; energy scattered in all directions, averaged over all angles of incidence) match the SDWBA model (stochastic distorted-wave Born approximation) recently developed for Antarctic krill, indicating its validity for other euphausiid species with similar size and shape. However, the TTS of crustaceans with markedly different shapes are not well predicted by SDWBA derived with the generic krill shape and scaled to animal length (L). Therefore, crustacean target strength (TS) may not be estimated accurately by a linear function of log(10)(L), irrespective of shape, questioning the validity of the current TS relationship used for Antarctic krill derived from data measured from multiple crustaceans. TTS and TS are dependent upon both L and shape, and different crustaceans have significantly different shapes and width-to-length relationships. In contrast, modelled TTS and TS spectra for gravid and non-gravid krill appear to have differing amplitudes, but similar shapes. Additionally, measurements of absorption spectra from decapods indicate that the absorption cross-section increases with the volume of the animal. (c) 2005 International Council for the Exploration of the Sea. Published by Elsevier Ltd. All rights reserved.</t>
  </si>
  <si>
    <t>SW Fisheries Sci Ctr, La Jolla, CA 92037 USA; Univ St Andrews, Gatty Marine Lab, St Andrews KY16 8LB, Fife, Scotland</t>
  </si>
  <si>
    <t>National Oceanic Atmospheric Admin (NOAA) - USA; University of St Andrews</t>
  </si>
  <si>
    <t>Conti, SG (corresponding author), SW Fisheries Sci Ctr, 8604 Jolla Shores Dr, La Jolla, CA 92037 USA.</t>
  </si>
  <si>
    <t>stephane.conti@noaa.gov</t>
  </si>
  <si>
    <t>, David/ABC-8990-2022; Brierley, Andrew/G-8019-2011</t>
  </si>
  <si>
    <t>, David/0000-0001-5083-8854; Brierley, Andrew/0000-0002-6438-6892</t>
  </si>
  <si>
    <t>10.1016/j.icesjms.2005.01.024</t>
  </si>
  <si>
    <t>952JD</t>
  </si>
  <si>
    <t>WOS:000230998900012</t>
  </si>
  <si>
    <t>Power-law correlations in column ozone over Antarctica</t>
  </si>
  <si>
    <t>Detrended fluctuation analysis is applied on springtime daily column ozone at the edge and into the Antarctic ozone hole, by using observations deduced from ground-based (1972-2003) and satellite-borne instrumentation (1979-2003). First, extreme column ozone fluctuations obey a power-law with exponents, implying that large fluctuations are more likely to occur into the ozone hole than at its edge. Secondly, for time-scales longer than one year, persistent long-range power-law correlations in the column ozone fluctuations were more pronounced during 1979-1992. However, by eliminating the long-term trend, antipersistence (persistence) for time tags more (less) than ten days is detected for the entire data record. The latter crossover illustrates the role of planetary waves in the scaling characteristics of the spatio-temporal variability of the Antarctic ozone hole. Finally, since 1996 the intrinsic dynamics in column ozone at the edge of Antarctica have differed; this does not hold for the Antarctic ozone hole.</t>
  </si>
  <si>
    <t>Univ Athens, Dept Appl Phys, GR-15784 Athens, Greece</t>
  </si>
  <si>
    <t>Univ Athens, Dept Appl Phys, Panepistimiopolis Build Phys V, GR-15784 Athens, Greece.</t>
  </si>
  <si>
    <t>covar@phys.uoa.gr</t>
  </si>
  <si>
    <t>zhang, yonglei/G-1045-2011; Varotsos, Costas/H-6257-2013</t>
  </si>
  <si>
    <t>10.1080/01431160500076111</t>
  </si>
  <si>
    <t>965MF</t>
  </si>
  <si>
    <t>WOS:000231953900002</t>
  </si>
  <si>
    <t>Giovanelli, G; Bortoli, D; Petritoli, A; Castelli, E; Kostadinov, I; Ravegnani, F; Redaelli, G; Volk, CM; Cortesi, U; Bianchini, G; Carli, B</t>
  </si>
  <si>
    <t>Stratospheric minor gas distribution over the Antarctic Peninsula during the APE-GAIA campaign</t>
  </si>
  <si>
    <t>AIRBORNE POLAR EXPERIMENT; IN-SITU OBSERVATIONS; LONG-LIVED TRACERS; OZONE HOLE; REACTIVE NITROGEN; ER-2 AIRCRAFT; VORTEX; CHLORINE; DENITRIFICATION; SPECTROSCOPY</t>
  </si>
  <si>
    <t>This work presents measurements obtained with the multi-input spectro-radiometer GASCOD/A4 pi, the Fourier transform far-infrared interferometer SAFIRE-A and the two-channel chromatograph HAGAR, on board the M-55 Geophysica stratospheric aircraft during the APE-GAIA campaign, held in September-October 1999 over the Antarctic Peninsula. The paper aims to investigate the gas mixing ratio distributions at the flight altitude, during a recovery phase of the reservoir species in the lower stratosphere in the Antarctic spring. Attention is focused on the daytime flight of 23 September, when the aircraft flew inside the vortex at two different altitudes (about 16.5km and 18.5 km). Concentration distributions were examined for NO2, N2O, O-3, BrO, ClO, HC1, H2O and HNO3, during flight inside and outside the vortex. The NO2 maxima were well defined in the edge region both on entry into and exit from the vortex at different flight altitudes. Simultaneous concentration measurements of HNO3 and H2O showed a denitrification but not dehydration inside the vortex core. The reformation of chlorine reservoirs is investigated. It was evident that the re-conversion of HCI was favoured in the C1 + CH4 branches, and its high mixing ratio up to 1 ppbv at 425K surface confirms that low ozone air masses inside the vortex and strong sunlight greatly favour a more rapid formation of passive chlorine reservoirs.</t>
  </si>
  <si>
    <t>CNR, ISAC, I-40129 Bologna, Italy; Univ Evora, CGE, P-7000 Evora, Portugal; BAS, STIL, Stara Zagora 6000, Bulgaria; Univ Aquila, I-67100 Laquila, Italy; Goethe Univ Frankfurt, D-60325 Frankfurt, Germany; CNR, IFAC, I-50127 Florence, Italy</t>
  </si>
  <si>
    <t>Consiglio Nazionale delle Ricerche (CNR); Istituto di Scienze dell'Atmosfera e del Clima (ISAC-CNR); University of Evora; Bulgarian Academy of Sciences; University of L'Aquila; Goethe University Frankfurt; Consiglio Nazionale delle Ricerche (CNR); Istituto di Fisica Applicata Nello Carrara (IFAC-CNR)</t>
  </si>
  <si>
    <t>CNR, ISAC, Via Gobetti 101, I-40129 Bologna, Italy.</t>
  </si>
  <si>
    <t>g.giovanelli@isac.cnr.it</t>
  </si>
  <si>
    <t>Ravegnani, Fabrizio/AAM-5467-2021; Ravegnani, Fabrizio/A-7800-2009; Bortoli, Daniele/A-5489-2009; Bianchini, Giovanni/ABD-3585-2020; Redaelli, Gianluca/GZX-3219-2022; Cortesi, Ugo/D-2704-2012</t>
  </si>
  <si>
    <t>Ravegnani, Fabrizio/0000-0003-0735-9297; Ravegnani, Fabrizio/0000-0003-0735-9297; Bortoli, Daniele/0000-0002-2334-4055; Bianchini, Giovanni/0000-0002-5400-7721; Castelli, Elisa/0000-0003-2218-5790; Cortesi, Ugo/0000-0002-2827-5239; Redaelli, Gianluca/0000-0002-4449-1513</t>
  </si>
  <si>
    <t>10.1080/01431160500076210</t>
  </si>
  <si>
    <t>WOS:000231953900003</t>
  </si>
  <si>
    <t>Yela, M; Parrondo, C; Gil, M; Rodríguez, S; Araujo, J; Ochoa, H; Deferrari, G; Díaz, S</t>
  </si>
  <si>
    <t>The September 2002 Antarctic vortex major warming as observed by visible spectroscopy and ozone soundings</t>
  </si>
  <si>
    <t>POLAR VORTEX; SOUTHERN-HEMISPHERE; WINTER; HOLE; STRATOSPHERE; LAMINAE; SPLIT; PENINSULA; TRANSPORT; BREAKUP</t>
  </si>
  <si>
    <t>The record of O-3 total column and NO2 obtained by visible spectroscopy at Ushuaia (55 degrees S), Marambio (64 degrees S) and Belgrano (78 degrees S) and vertical ozone profiles from the latter station provide insight into the unprecedented major warming observed above Antarctica in the last week of September 2002. From 18 September to 25 September the temperature increased 54 degrees C at the isentropic level of 700 K. The temperature anomaly was observed down to the level of 300 K in which a well-defined tropopause was established. From comparison of the ozone profiles before and during the event, it can be seen that a fast increase in O-3 took place basically above 500 K, but the layer where the ozone hole occurs was barely affected. Low potential vorticity values above Belgrano occurred only at levels above 500 K, confirming that the vortex split was confined to heights above the layer of the Antarctic spring depletion. The signature of poleward-transported air is clearly visible from the NO2 column departure from the envelope of the previous years in all three stations. NO2 columns larger than typical for ozone hole conditions by 400% were observed at Belgrano. Diurnal variations provide evidence of non-denitrified extra-vortex air.</t>
  </si>
  <si>
    <t>INTA, Area Invest &amp; Instrumentac Atmosfer, Madrid 28850, Spain; Direcc Nacl Antartico, RA-1248 Buenos Aires, DF, Argentina; Cent Austral Invest Cientif, RA-9410 Tierra Del Fuego, Argentina</t>
  </si>
  <si>
    <t>Consejo Superior de Investigaciones Cientificas (CSIC); CSIC - Centro de Astrobiologia (INTA)</t>
  </si>
  <si>
    <t>INTA, Area Invest &amp; Instrumentac Atmosfer, Carretera Ajalvir,Km4, Madrid 28850, Spain.</t>
  </si>
  <si>
    <t>yelam@inta.es</t>
  </si>
  <si>
    <t>Yela Gonzalez, Margarita/J-7346-2016</t>
  </si>
  <si>
    <t>Yela Gonzalez, Margarita/0000-0003-3775-3156</t>
  </si>
  <si>
    <t>10.1080/01431160500076285</t>
  </si>
  <si>
    <t>WOS:000231953900004</t>
  </si>
  <si>
    <t>Grytsai, A; Grytsai, Z; Evtushevsky, A; Milinevsky, G</t>
  </si>
  <si>
    <t>Interannual variability of planetary waves in the ozone layer at 65° S</t>
  </si>
  <si>
    <t>HOLE SPLIT; TEMPERATURE</t>
  </si>
  <si>
    <t>Planetary wave activity in the ozone layer was analysed using the Total Ozone Mapping Spectrometer (TOMS) satellite total ozone measurements. The area under study is southern latitude 65 degrees S, the closest to the location of the Vernadsky station (65 degrees 15'S, 64 degrees 16'W). The time-longitude variations in the total ozone during August-December 1979-2003 are presented. The five-month average distributions of the total ozone along the latitude circle of 65 degrees S show the steady features of quasi-stationary zonal distribution caused by superposition of the total wave numbers. The structure of wave number I is dominant. Interannual variations and long-term trends of the total wave number amplitude and longitudinal position of the wave ridge (high ozone) and trough (low ozone) are described. Due to the wave amplitude increase the difference between low and high ozone in the opposite longitudinal sectors reached ca 30% in the early 2000s. During 1979-2003 the wave ridge position was relatively stable with the mean longitude of 152 +/- 15 degrees E; however, the wave trough position drifted eastward from 55 degrees W to the Greenwich meridian with the mean velocity of the long-term drift of 23.6 +/- 7.2 degrees per decade. Deviation of the quasi-stationary wave characteristics relative to the mean tendency took place in 1988 and 2002.</t>
  </si>
  <si>
    <t>Natl Tarasa Shevchenka Univ Kyiv, Dept Space Phys &amp; Astron, UA-03127 Kiev, Ukraine; Ukrainian Antarctic Ctr, UA-01601 Kiev, Ukraine</t>
  </si>
  <si>
    <t>Ministry of Education &amp; Science of Ukraine; Taras Shevchenko National University of Kyiv; Ministry of Education &amp; Science of Ukraine; State Institution National Antarctic Scientific Center</t>
  </si>
  <si>
    <t>Natl Tarasa Shevchenka Univ Kyiv, Dept Space Phys &amp; Astron, 2 Akad Glushkova Av,Bldg 1, UA-03127 Kiev, Ukraine.</t>
  </si>
  <si>
    <t>science@uac.gov.ua</t>
  </si>
  <si>
    <t>Milinevsky, Gennadi/AAD-8801-2019; Grytsai, Asen/AAS-7114-2020; Evtushevsky, Oleksandr O.M./F-2065-2017</t>
  </si>
  <si>
    <t>Milinevsky, Gennadi/0000-0002-2342-2615; Evtushevsky, Oleksandr O.M./0000-0003-0582-559X; Grytsai, Asen/0000-0002-2545-9833</t>
  </si>
  <si>
    <t>10.1080/01431160500076350</t>
  </si>
  <si>
    <t>WOS:000231953900005</t>
  </si>
  <si>
    <t>Efstathiou, MN</t>
  </si>
  <si>
    <t>The planetary waves in total ozone over Antarctica</t>
  </si>
  <si>
    <t>ULTRAVIOLET-RADIATION; COLUMN OZONE; HOLE SPLIT; PART II; DYNAMICS; TRENDS; PRECURSORS; SATELLITE</t>
  </si>
  <si>
    <t>An investigation was made into the characteristic features of the signature of the quasi-stationary planetary waves in ozone over Antarctica during recent years, where the Antarctic ozone hole exhibits peculiar behaviour. To this end, mean monthly ozone data, collected by the Total Ozone Mapping Spectrometer (TOMS) flown on the Earth-Probe satellite over 75.5 degrees S during September of four successive years (2000-2003), were used. Planetary waves in total ozone seem to have been much stronger during 2002 than during the other years investigated. The latter agrees fairly well with the substantial reduction in the spatial extent of the polar vortex and the limited ozone hole size in 2002.</t>
  </si>
  <si>
    <t>Univ Athens, Lab Meteorol, GR-15784 Athens, Greece</t>
  </si>
  <si>
    <t>Efstathiou, MN (corresponding author), Univ Athens, Lab Meteorol, PHYS V, GR-15784 Athens, Greece.</t>
  </si>
  <si>
    <t>patakismaths@hotmail.com</t>
  </si>
  <si>
    <t>Efstathiou, Maria/JVD-8203-2023</t>
  </si>
  <si>
    <t>10.1080/01431160500076392</t>
  </si>
  <si>
    <t>WOS:000231953900006</t>
  </si>
  <si>
    <t>Bortoli, D; Giovanelli, G; Ravegnani, F; Kostadinov, I; Petritoli, A</t>
  </si>
  <si>
    <t>Stratospheric nitrogen dioxide in the Antarctic</t>
  </si>
  <si>
    <t>SLANT COLUMN MEASUREMENTS; UV-VISIBLE SPECTROMETERS; ABSORPTION-SPECTROSCOPY; NEAR-ULTRAVIOLET; CIMONE-STATION; POLAR VORTEX; OZONE HOLE; NO2; AIR; O3</t>
  </si>
  <si>
    <t>Several UV-visible spectrometers have been developed at the ISAC-CNR Institute. Differential Optical Absorption Spectroscopy (DOAS) methodology is applied to their measurements to monitor the amounts of stratospheric trace gases: mainly ozone (O-3) and nitrogen dioxide (NO2) which is involved in the ozone cycle. Observations of the scattered zenith-sky light were performed with one of these instruments installed at the Terra Nova Bay station (TNB), Antarctica. GASCOD (Gas Analyzer Spectrometer Correlating Optical Differences) is described briefly and a method for data analysis and validation of the results introduced. Some aspects of the DOAS technique are presented: the algorithm allowing the best spectral alignment between spectra obtained with GASCOD and a high-resolution wavelength calibrated spectrum, is explained. Simple considerations allow for calculation of the NO2 concentration in the background spectrum used in DOAS analysis. For the period of activity of the GASCOD at TNB (1996-2003), the results of NO2 vertical column density (VCD) at twilight show a maximum in the summer and a minimum in the winter. Three years of measurements (2001-2003) are analysed in terms of stratospheric temperature and potential vorticity to obtain information about stratospheric warming that occurred in 2002 over Antarctica. The correlation between NO2 atmospheric content and stratospheric temperature is highlighted. The diurnal variations of NO2, which are controlled by photochemistry, show an unusual behaviour at high latitudes. Analysis of the a.m./p.m. ratios-the sunrise NO2 VC (a.m.) over the sunset VC (p.m.)-during different seasons and at various Solar Zenith Angles (SZA) is presented and discussed.</t>
  </si>
  <si>
    <t>Univ Evora, CGE, P-7000 Evora, Portugal; CNR, ISAC, I-40129 Bologna, Italy; STIL, BAS, Base Observ, Stara Zagora 6000, Bulgaria</t>
  </si>
  <si>
    <t>University of Evora; Consiglio Nazionale delle Ricerche (CNR); Istituto di Scienze dell'Atmosfera e del Clima (ISAC-CNR); Bulgarian Academy of Sciences</t>
  </si>
  <si>
    <t>Univ Evora, CGE, Rua Romao Ramalho 59, P-7000 Evora, Portugal.</t>
  </si>
  <si>
    <t>d.bortoli@isac.cnr.it</t>
  </si>
  <si>
    <t>Ravegnani, Fabrizio/A-7800-2009; Bortoli, Daniele/A-5489-2009; Ravegnani, Fabrizio/AAM-5467-2021</t>
  </si>
  <si>
    <t>Ravegnani, Fabrizio/0000-0003-0735-9297; Bortoli, Daniele/0000-0002-2334-4055; Ravegnani, Fabrizio/0000-0003-0735-9297</t>
  </si>
  <si>
    <t>10.1080/01431160500076418</t>
  </si>
  <si>
    <t>WOS:000231953900007</t>
  </si>
  <si>
    <t>Ghude, SD; Kumar, A; Jain, SL; Arya, BC; Bajaj, MM</t>
  </si>
  <si>
    <t>Comparative study of the total ozone column over Maitri, Antarctica during 1997, 2002 and 2003</t>
  </si>
  <si>
    <t>POLAR VORTEX; HOLE SPLIT</t>
  </si>
  <si>
    <t>The total ozone (TOZ) column was measured using a Microtop Sun-photometer at Maitri (70 degrees 45'S, 11 degrees 44'E), Antarctica during the 16th, 21st and 22nd Indian Scientific Expedition to Antarctic. A comparative study of the TOZ column at Maitri, Antarctica was made to understand the behaviour of the ozone hole. The observations showed a direct relationship between the stratospheric temperature anomaly and year-to-year variation in TOZ. The minimum TOZ observed at Maitri, Antarctica during spring was 135DU (Dobson unit), 185DU and 126 DU in 1997, 2002 and 2003, respectively. The ozone hole in 2003 was much deeper and had a longer duration. The observations showed that chemical loss of ozone over Maitri during the ozone hole period in 2003 was increased by 18.6% when compared with 1997 and 42% when compared with 2002. The observations at Maitri also showed an event of major stratospheric warming along with surface warming during 2002. A temporary sudden rise in the TOZ column before the recovery period (days 300-315) was also observed and found to be overlapping in all the observational years.</t>
  </si>
  <si>
    <t>Ghude, SD (corresponding author), Natl Phys Lab, Radio &amp; Atmospher Sci Div, Dr KS Krishnan Marg, New Delhi 110012, India.</t>
  </si>
  <si>
    <t>sachinghude@mail.nplindia.ernet.in</t>
  </si>
  <si>
    <t>10.1080/01431160500076434</t>
  </si>
  <si>
    <t>WOS:000231953900008</t>
  </si>
  <si>
    <t>Jadin, EA; Kondratyev, KY; Bekoryukov, VI; Vargin, PN</t>
  </si>
  <si>
    <t>Influence of atmospheric circulation variations on the ozone layer</t>
  </si>
  <si>
    <t>HOLE SPLIT; HEMISPHERE; PROPAGATION; OSCILLATION</t>
  </si>
  <si>
    <t>This paper reviews results related to the influence of long-term changes of the atmospheric wave activity and circulation on the ozone layer, in particular on the Antarctic ozone hole in 2002. These results provide evidence that an important role is played by natural factors in the ozone layer changes, together with the known anthropogenic impacts. Specifically, these factors are connected with the interannual and decadal variations in the coupled ocean-atmosphere system of the Northern and Southern Hemispheres. Possible mechanisms of long-term changes of the ozone layer and climate are discussed.</t>
  </si>
  <si>
    <t>Cent Aerol Observ, Moscow 141700, Russia; St Petersburg Ctr Ecol Secur, St Petersburg, Russia</t>
  </si>
  <si>
    <t>Cent Aerol Observ, Pervomayskaya Str, Moscow 141700, Russia.</t>
  </si>
  <si>
    <t>ejadin@yandex.ru</t>
  </si>
  <si>
    <t>Vargin, Pavel N./R-1154-2018</t>
  </si>
  <si>
    <t>10.1080/01431160500076541</t>
  </si>
  <si>
    <t>WOS:000231953900014</t>
  </si>
  <si>
    <t>Gvozdovskyy, I; Orlova, T; Salkova, E; Terenetskaya, I; Milinevsky, G</t>
  </si>
  <si>
    <t>Ozone and solar UV-B radiation: monitoring of the vitamin D synthetic capacity of sunlight in Kiev and Antarctica</t>
  </si>
  <si>
    <t>MODEL</t>
  </si>
  <si>
    <t>Vitamin D synthesis is a well-known beneficial effect of solar UV-B radiation. Theoretical calculations showed the significant effect of the stratospheric ozone layer thickness on the vitamin D synthetic capacity of sunlight. During 20032004 permanent monitoring of solar UV radiation, using an in vitro model of vitamin D synthesis, was carried out in Kiev (50 degrees 23'N, 30 degrees 32, E) and in the Antarctic at the Vernadsky station (65 degrees 15'S, 64 degrees 16'W). Simultaneously, ozone layer thickness in the Antarctic was measured with a Dobson spectrometer. The results obtained confirm the known dramatic seasonal effect on the vitamin D synthetic capacity of sunlight. In addition, for the first time, a significant increase in the efficiency of vitamin D synthesis was revealed at the Vernadsky station in October under low ozone conditions.</t>
  </si>
  <si>
    <t>Natl Acad Sci Ukraine, Inst Phys, UA-03028 Kiev, Ukraine; Ukrainian Antarct Ctr, UA-01601 Kiev, Ukraine</t>
  </si>
  <si>
    <t>National Academy of Sciences Ukraine; Institute of Physics of the National Academy of Sciences of Ukraine; Ministry of Education &amp; Science of Ukraine; State Institution National Antarctic Scientific Center</t>
  </si>
  <si>
    <t>Natl Acad Sci Ukraine, Inst Phys, Prospekt Nauki 46, UA-03028 Kiev, Ukraine.</t>
  </si>
  <si>
    <t>teren@iop.kiev.ua</t>
  </si>
  <si>
    <t>Orlova, Tetiana/AAO-5130-2020; Milinevsky, Gennadi/AAD-8801-2019; Terenetskaya, Irina/X-6771-2018; Gvozdovskyy, Igor/X-3989-2018</t>
  </si>
  <si>
    <t>Orlova, Tetiana/0000-0002-1594-291X; Milinevsky, Gennadi/0000-0002-2342-2615; Gvozdovskyy, Igor/0000-0002-4531-9942</t>
  </si>
  <si>
    <t>10.1080/01431160500076863</t>
  </si>
  <si>
    <t>WOS:000231953900024</t>
  </si>
  <si>
    <t>Cartalis, C; Keramitsoglou, I</t>
  </si>
  <si>
    <t>Analysis of TOMS-derived Lambert-equivalent reflectivities for the period 1996-2002</t>
  </si>
  <si>
    <t>OZONE HOLE SPLIT; CLOUDS</t>
  </si>
  <si>
    <t>This study focuses on the analysis of the Lambert-equivalent reflectivities at 360nm as acquired by the Total Ozone Mapping Spectrometer (TOMS) instrument on board the Earth Probe satellite, for the period July 1996 to December 2002. The analysis is related to the sudden stratospheric warming (SSW) and the ozone hole split over Antarctic in September 2002. Reflectivities (version 8 TOMS data) were analysed per year, month and day for 2002 and compared to the respective reflectivities of previous years. The low reflectivity values observed in 2002 confirm the absence of polar stratospheric clouds, the latter being a major driving force for the depletion of ozone over the Antarctic; furthermore, they support the occurrence of the reported major SSW. In addition, the Lambert-equivalent reflectivity values in the year 2002 exhibit an intra-annual trend that differs from the respective ones in previous years.</t>
  </si>
  <si>
    <t>Cartalis, C (corresponding author), Univ Athens, Dept Appl Phys, Panepistimioupolis, GR-15784 Athens, Greece.</t>
  </si>
  <si>
    <t>ckartali@cc.uoa.gr</t>
  </si>
  <si>
    <t>Keramitsoglou, Iphigenia/F-3076-2011</t>
  </si>
  <si>
    <t>Keramitsoglou, Iphigenia/0000-0002-9040-8653</t>
  </si>
  <si>
    <t>10.1080/01431160500076962</t>
  </si>
  <si>
    <t>WOS:000231953900028</t>
  </si>
  <si>
    <t>Hermes, JC; Reason, CJC</t>
  </si>
  <si>
    <t>Ocean model diagnosis of interannual coevolving SST variability in the South Indian and South Atlantic Oceans</t>
  </si>
  <si>
    <t>SEA-SURFACE TEMPERATURE; AFRICAN RAINFALL; DIPOLE EVENTS; HEAT FLUXES; CIRCULATION; ATMOSPHERE; SENSITIVITY; EQUATORIAL; ANOMALIES; AGULHAS</t>
  </si>
  <si>
    <t>A global ocean model (ORCA2) forced with 50 yr of NCEP-NCAR reanalysis winds and heat fluxes has been used to investigate the evolution and forcing of interannual dipolelike sea surface temperature (SST) variability in the South Indian and South Atlantic Oceans. Although such patterns may also exist at times in only one of these basins and not the other, only events where there are coherent signals in both basins during the austral summer have been chosen for study in this paper. A positive (negative) event occurs when there is a significant warm (cool) SST anomaly evident in the southwest of both the South Indian and South Atlantic Oceans and a cool (warm) anomaly in the eastern subtropics. The large-scale forcing of these events appears to consist of a coherent modulation of the wavenumber-3 or -4 pattern in the Southern Hemisphere atmospheric circulation such that the semipermanent subtropical anticyclone in each basin is shifted from its summer mean position and its strength is modulated. A relationship to the Antarctic Oscillation is also apparent, and seems to strengthen after the mid-1970s. The modulated subtropical anticyclones lead to changes in the tropical easterlies and midlatitude westerlies in the South Atlantic and South Indian Oceans that result in anomalies in latent heat fluxes, upwelling, and Ekman heat transports, all of which contribute to the SST variability. In addition, there are significant modulations to the strong Rossby wave signals in the South Indian Ocean. The results of this study confirm the ability of the ORCA2 model to represent these dipole patterns and indicate connections between large-scale modulations of the Southern Hemisphere midlatitude atmospheric circulation and coevolving SST variability in the South Atlantic and South Indian Oceans.</t>
  </si>
  <si>
    <t>Univ Cape Town, Dept Oceanog, ZA-7701 Rondebosch, South Africa</t>
  </si>
  <si>
    <t>jhermes@ocean.uct.ac.za</t>
  </si>
  <si>
    <t>Hermes, Juliet/0000-0001-7858-514X</t>
  </si>
  <si>
    <t>10.1175/JCLI3422.1</t>
  </si>
  <si>
    <t>962NA</t>
  </si>
  <si>
    <t>WOS:000231738300005</t>
  </si>
  <si>
    <t>Fyfe, JC; Saenko, OA</t>
  </si>
  <si>
    <t>Human-induced change in the Antarctic Circumpolar Current</t>
  </si>
  <si>
    <t>SOUTHERN-OCEAN; COUPLED MODEL; CLIMATE; CIRCULATION; TRANSPORT</t>
  </si>
  <si>
    <t>Global climate models indicate that the poleward shift of the Antarctic Circumpolar Current observed over recent decades may have been significantly human induced. The poleward shift, along with a significant increase in the transport of water around Antarctica, is predicted to continue into the future. To appreciate the magnitude of the poleward shift it is noted that by century's end the concomitant shrinking of the Southern Ocean is predicted to displace a volume of water close to that in the entire Arctic Ocean. A simple theory, balancing surface Ekman drift and ocean eddy mixing, explains these changes as the oceanic response to changing wind stress.</t>
  </si>
  <si>
    <t>Univ Victoria, Canadian Ctr Climate Modelling &amp; Anal, Meteorol Serv Canada, Victoria, BC V8W 2Y2, Canada</t>
  </si>
  <si>
    <t>Environment &amp; Climate Change Canada; Canadian Centre for Climate Modelling &amp; Analysis (CCCma); Meteorological Service of Canada; University of Victoria</t>
  </si>
  <si>
    <t>Univ Victoria, Canadian Ctr Climate Modelling &amp; Anal, Meteorol Serv Canada, POB 1700, Victoria, BC V8W 2Y2, Canada.</t>
  </si>
  <si>
    <t>John.Fyfe@ec.gc.ca</t>
  </si>
  <si>
    <t>10.1175/JCLI3447.1</t>
  </si>
  <si>
    <t>WOS:000231738300017</t>
  </si>
  <si>
    <t>Aiken, CM; England, MH</t>
  </si>
  <si>
    <t>On the stochastic forcing of modes of interannual Southern Ocean sea surface temperature variability</t>
  </si>
  <si>
    <t>ANTARCTIC CIRCUMPOLAR WAVE</t>
  </si>
  <si>
    <t>A simple linearized transport model of anomalous Southern Ocean sea surface temperature (SST) is studied to determine whether it can sustain anomalies of realistic amplitudes under a physically based stochastic forcing. As noted in previous studies, eigenmodes of this system with zonal wavenumbers 2 and 3 share key propagation characteristics with the SST anomalies associated with the Antarctic Circumpolar Wave (ACW). The system is solved on a grid that follows the path of the Antarctic Circumpolar Current (ACC) and is forced by a stochastic heat flux. The forcing is white in space and time and represents the advection of the mean SST gradient by high-frequency variations in the cross-ACC velocity, due to mesoscale eddy variability. The magnitude of the stochastic forcing is determined from a global eddy-permitting ocean model. Anomalous ocean surface velocity variability (8 cm s(-1)) coupled to a mean cross-ACC SST gradient of 0.8 degrees C (degrees latitude)(-1) sustains anomalous interannual SST variability at low wavenumbers and amplitudes of the order of VC, consistent with those associated with the ACW. In the long-term mean, variance is broadly spread among low wavenumbers, in contrast to the dominance of one or two zonal wavenumbers in the ACW observations. It is found, however, that the model produces single dominant wavenumbers over individual periods of decades, suggesting that the apparent unimodal nature of the ACW may be an artifact of the short observational record used to infer it. Alternatively, it is shown that a nonisotropic forcing may also result in a stronger preference for particular zonal wavenumbers. It is shown that if the atmosphere at mid to high southern latitudes has an equivalent barotropic response to heating, then the resulting sea level pressure anomalies reproduce the phase relationship of the observed ACW. These results are consistent with the notion that a simple stochastically forced advection of SST anomalies can explain SST variability associated with the ACW to leading order.</t>
  </si>
  <si>
    <t>Univ New S Wales, Sch Math, Ctr Environm Modelling &amp; Predict, Sydney, NSW 2052, Australia</t>
  </si>
  <si>
    <t>Univ New S Wales, Sch Math, Ctr Environm Modelling &amp; Predict, Sydney, NSW 2052, Australia.</t>
  </si>
  <si>
    <t>aiken@maths.unsw.edu.au</t>
  </si>
  <si>
    <t>England, Matthew/A-7539-2011; Aiken, Christopher/G-3754-2019</t>
  </si>
  <si>
    <t>England, Matthew/0000-0001-9696-2930;</t>
  </si>
  <si>
    <t>10.1175/JCLI3453.1</t>
  </si>
  <si>
    <t>WOS:000231738300018</t>
  </si>
  <si>
    <t>Borrell, BJ; Goldbogen, JA; Dudley, R</t>
  </si>
  <si>
    <t>Aquatic wing flapping at low Reynolds numbers:: swimming kinematics of the Antarctic pteropod, Clione antarctica</t>
  </si>
  <si>
    <t>Clione antarctica; drag; flapping flight; kinematics; lift; pteropod; swimming</t>
  </si>
  <si>
    <t>HOVERING INSECT FLIGHT; HYMENOCHIRUS-BOETTGERI; ARTEMIA LARVAE; LOCOMOTION; AERODYNAMICS; MOLLUSK; PROPULSION; LIMACINA; FORCE; MORPHOLOGY</t>
  </si>
  <si>
    <t>We studied swimming kinematics of the Antarctic pteropod, Clione antarctica, to investigate how propulsive forces are generated by flexible oscillating appendages operating at low Reynolds numbers (10 &lt; Re &lt; 100). We filmed ten ascending individuals at 125 frames s(-1) from two orthogonal views, and reconstructed three-dimensional coordinates of the wing tip and body. Each half-stroke of flapping consisted of distinct power and recovery phases, which were of approximately equal duration in both the upstroke and the downstroke. As pteropods ascended, the body traced a sawtooth path when viewed laterally. The magnitude of these oscillations decreased with body mass, and larger animals (operating at Re &gt; 25) exhibited gliding during the recovery phase of each half-stroke. Maximum translational and rotational accelerations of the body occurred at the initiation of each power phase, suggesting that rotational circulation, the acceleration reaction, and wake recapture may all potentially contribute to vertical force production. Individual contributions of these mechanisms cannot, however, be assessed from these kinematic data alone. During recovery phases of each half-stroke, C antarctica minimized adverse drag forces by orienting the wings parallel to flow and by moving them along the body surface, possibly taking advantage of boundary layer effects. Vertical force production was altered through changes in the hydrodynamic angle of attack of the wing that augmented drag during the power phase of each half-stroke. At higher translational velocities of the body, the inclination of the power phase also became more nearly vertical. These results indicate that, in addition to serotonin-mediated modulation of wingbeat frequency reported previously in Clione, geometric alteration of wingbeat kinematics offers a precise means of controlling swimming forces.</t>
  </si>
  <si>
    <t>Univ Calif Berkeley, Dept Integrat Biol, Berkeley, CA 94720 USA; Smithsonian Trop Res Inst, Balboa, Panama</t>
  </si>
  <si>
    <t>University of California System; University of California Berkeley; Smithsonian Institution; Smithsonian Tropical Research Institute</t>
  </si>
  <si>
    <t>Borrell, BJ (corresponding author), Univ Calif Berkeley, Dept Integrat Biol, Berkeley, CA 94720 USA.</t>
  </si>
  <si>
    <t>bborrell@berkeley.edu</t>
  </si>
  <si>
    <t>COMPANY OF BIOLOGISTS LTD</t>
  </si>
  <si>
    <t>BIDDER BUILDING CAMBRIDGE COMMERCIAL PARK COWLEY RD, CAMBRIDGE CB4 4DL, CAMBS, ENGLAND</t>
  </si>
  <si>
    <t>10.1242/jeb.01733</t>
  </si>
  <si>
    <t>960FO</t>
  </si>
  <si>
    <t>WOS:000231575800023</t>
  </si>
  <si>
    <t>Fukuzaki, Y; Shibuya, K; Doi, K; Ozawa, T; Nothnagel, A; Jike, T; Iwano, S; Jauncey, DL; Nicolson, GD; McCulloch, PM</t>
  </si>
  <si>
    <t>Results of the VLBI experiments conducted with Syowa Station, Antarctica</t>
  </si>
  <si>
    <t>JOURNAL OF GEODESY</t>
  </si>
  <si>
    <t>VLBI; Antarctica; Syowa Station; GPS</t>
  </si>
  <si>
    <t>PLATE VELOCITIES; MOTIONS</t>
  </si>
  <si>
    <t>The first successful geodetic Very Long Baseline Interferometry ( VLBI) observations to Antarctica were made on baselines from Syowa Station ( Antarctica) to Tidbinbilla ( Australia) and to Kashima ( Japan) in January 1990. Regular geodetic experiments started in 1998 with the installation of a permanent VLBI terminal at Syowa Station. These observations are conducted at the standard geodetic VLBI frequencies of 2.3 and 8.4 GHz, S- and X-Bands. In the first year, the 11-m multipurpose antenna at Syowa Station observed together with the 26-m radio telescope of the University of Tasmania in Australia and the 26-m radio telescope of the Hartebeesthoek Radio Astronomy Observatory in South Africa. From 1999, the experiments were expanded to also include the O'Higgins Station in Antarctica, Fortaleza in Brazil and Kokee on Hawaii. From 1999 until the end of 2003, 25 observing sessions have been reduced and analyzed using the CALC/SOLVE geodetic VLBI data reduction package. The results show that the horizontal baseline of Syowa-Hobart is increasing at the rate of 57.0 +/- 1.9 mm/year. The baseline Syowa-Hartebeesthoek is also increasing, but at the lower rate of 9.8 +/- 1.9 mm/ year. The VLBI result of 2.0 +/- 3.1 mm/ year and the GPS result of - 1.9 +/- 0.7 mm/ year for the Syowa-O'Higgins horizontal baseline support the hypothesis of one rigid Antarctic plate without intra-plate deformation, which is consistent with the NNR-NUVEL-1A global plate motion model. The location of the Euler pole of the Antarctic plate by VLBI is estimated as 59.7 degrees S and 62.6 degrees E with a rotation rate of 0.190 deg/Myr, while that by GPS in our study is estimated as 60.6 degrees S and 42.2 degrees E with a rotation rate of 0.221 deg/Myr. These pole positions are slightly different to that implied by the NNR-NUVEL-1A model of 63.0 degrees S and 64.2 degrees E with a rotation rate of 0.238 deg/Myr. VLBI observations over a longer time span may resolve small discrepancy of current plate motion from the NNR-NUVEL-1A model. The consistency of the VLBI coordinates with the GPS coordinates at Syowa Station, after correction for the local tie vector components between the two reference markers, is also discussed.</t>
  </si>
  <si>
    <t>Geog Survey Inst, Tsukuba, Ibaraki 3050811, Japan; Natl Inst Polar Res, Itabashi Ku, Tokyo 173, Japan; Natl Res Inst Earth Sci &amp; Disaster Prevent, Tsukuba, Ibaraki, Japan; Univ Bonn, Geodet Inst, D-5300 Bonn, Germany; Natl Astron Observ, Tokyo 181, Japan; Kyoto Univ, Grad Sch Sci, Sakyo Ku, Kyoto, Japan; CSIRO, Australia Telescope Natl Facil, Epping, NSW 2121, Australia; Hartebeesthoek Radio Astron, Krugersdorp, South Africa; Univ Tasmania, Dept Phys, Hobart, Tas 7001, Australia</t>
  </si>
  <si>
    <t>Research Organization of Information &amp; Systems (ROIS); National Institute of Polar Research (NIPR) - Japan; National Research Institute for Earth Science &amp; Disaster Resilience; University of Bonn; National Institutes of Natural Sciences (NINS) - Japan; National Astronomical Observatory of Japan (NAOJ); Kyoto University; Commonwealth Scientific &amp; Industrial Research Organisation (CSIRO); Australia Telescope National Facility; National Research Foundation - South Africa; Hartebeesthoek Radio Astronomy Observatory; University of Tasmania</t>
  </si>
  <si>
    <t>Geog Survey Inst, Kitasato 1, Tsukuba, Ibaraki 3050811, Japan.</t>
  </si>
  <si>
    <t>fukuzaki@gsi.go.jp</t>
  </si>
  <si>
    <t>McCulloch, Peter/ABG-1643-2020</t>
  </si>
  <si>
    <t>0949-7714</t>
  </si>
  <si>
    <t>1432-1394</t>
  </si>
  <si>
    <t>J GEODESY</t>
  </si>
  <si>
    <t>J. Geodesy</t>
  </si>
  <si>
    <t>10.1007/s00190-005-0476-8</t>
  </si>
  <si>
    <t>Geochemistry &amp; Geophysics; Remote Sensing</t>
  </si>
  <si>
    <t>966JM</t>
  </si>
  <si>
    <t>WOS:000232016000008</t>
  </si>
  <si>
    <t>Worland, MR</t>
  </si>
  <si>
    <t>Factors that influence freezing in the sub-Antarctic springtail Tullbergia antarctica</t>
  </si>
  <si>
    <t>cold tolerance; cooling rate; desiccation; differential scanning calorimeter; feeding; freezing; gut contents; moulting; rapid cold hardening; starvation; supercooling point</t>
  </si>
  <si>
    <t>INSECT COLD-HARDINESS; SUBZERO TEMPERATURES; CRYPTOPYGUS-ANTARCTICUS; SUPERCOOLING POINTS; WATER-CONTENT; SURVIVAL; TOLERANCE; MICROARTHROPODS; COLLEMBOLA; BEETLES</t>
  </si>
  <si>
    <t>Effects of 12 biotic and abiotic factors on the freezing point of the sub-Antarctic springtail, Tullbergia antarctica, were investigated. Repeated cooling of individual springtails five times resulted in very similar freezing points suggesting that ice nucleation in this freeze-susceptible species is likely to be initiated by intrinsic factors rather than being a stochastic event. Mean supercooling point (SCP) was influenced by cooling protocol, showing a linear increase in mean SCP with cooling rates from 8 to 0.1 degrees C min(-1). However, the opposite effect (decreasing SCP) was seen with slower cooling. Slower rates may be ecologically realistic and allow time for appropriate physiological and biochemical changes. Feeding and food presence in the gut had no effect on SCP, and there was no correlation between the ice nucleating activity of bacteria isolated from the guts and the whole springtail SCP. Habitat altitude and diurnal light and temperature regimes also had no effect on SCP. There was no correlation between the cryoprotectant concentration of fresh animals and their SCP, but experimental desiccation resulted in increased osmolality and decreased SCP, although with considerable individual variation. The most significant influence on SCP was associated with ecdysis. As springtails cease feeding for a period either side of ecdysis, shedding the entire gut lining, moulting may be an efficient mechanism of clearing the gut:of all ice nucleating material. This previously unrecognised relationship between ecdysis, cold tolerance and seasonal survival tactics may play an important role in over-winter survival of some arthropods. (c) 2005 Elsevier Ltd. All rights reserved.</t>
  </si>
  <si>
    <t>mrwo@bas.ac.uk</t>
  </si>
  <si>
    <t>10.1016/j.jinsphys.2005.04.004</t>
  </si>
  <si>
    <t>970LV</t>
  </si>
  <si>
    <t>WOS:000232312600005</t>
  </si>
  <si>
    <t>Sartori, AF; Domaneschi, O</t>
  </si>
  <si>
    <t>The functional morphology of the Antarctic bivalve Thracia meridionalis Smith, 1885 (Anomalodesmata: Thraciidae)</t>
  </si>
  <si>
    <t>JOURNAL OF MOLLUSCAN STUDIES</t>
  </si>
  <si>
    <t>BRECHITES-VAGINIFERUS BIVALVIA; WATERING POT SHELL; CILIARY MECHANISMS; LATERNULA-ELLIPTICA; HUMPHREYIA-STRANGEI; PREY CAPTURE; BIOLOGY; INTERRELATIONSHIPS; LAMELLIBRANCHS; PANDORACEA</t>
  </si>
  <si>
    <t>The functional morphology of the Thraciidae is poorly understood. Although some morphological aspects of several members have been described, only Trigonothracia jinxingae from Chinese waters is known in detail. Thracia meridionalis is the only representative of the family in Antarctic waters, and is common in Admiralty Bay, King George Island, where it inhabits muddy sediments. Thracia meridionalis shares many features with Tr. jinxingae that are typical of most Anomalodesmata, i.e. a secondary 'ligament' of thickened periostracum, extensively fused mantle margins, ctenidia of type E, a ctenidial-labial palp junction of category III, a stomach of type IV and simultaneous hermaphroditism. Thracia meridionalis is, however, strikingly different from Tr. jinxingae in a number of ways, such as the presence of a fourth pallial aperture, statocysts of type B(3), heterorhabdic ctenidia, direct communication between the mantle chambers, a deep-burrowing habit (individuals lying on the left shell valve), siphons that retract into mucus-lined burrows, a stomach with extensive sorting areas, a rectum which passes over the kidneys and separate male and female gonadial apertures. There is, therefore, a greater range of morphological diversity within the Thraciidae than previously suspected.</t>
  </si>
  <si>
    <t>Univ Sao Paulo, Inst Biociencias, Dept Zool, BR-05422970 Sao Paulo, Brazil</t>
  </si>
  <si>
    <t>Sartori, AF (corresponding author), Univ Sao Paulo, Inst Biociencias, Dept Zool, Cx Postal 11461, BR-05422970 Sao Paulo, Brazil.</t>
  </si>
  <si>
    <t>andrefsartori@yahoo.com.br</t>
  </si>
  <si>
    <t>Sartori, Andre/0000-0003-0682-1646</t>
  </si>
  <si>
    <t>0260-1230</t>
  </si>
  <si>
    <t>J MOLLUS STUD</t>
  </si>
  <si>
    <t>J. Molluscan Stud.</t>
  </si>
  <si>
    <t>10.1093/mollus/eyi028</t>
  </si>
  <si>
    <t>950HC</t>
  </si>
  <si>
    <t>WOS:000230847200001</t>
  </si>
  <si>
    <t>Verleyen, E; Hodgson, DA; Sabbe, K; Vyverman, W</t>
  </si>
  <si>
    <t>Late Holocene changes in ultraviolet radiation penetration recorded in an East Antarctic lake</t>
  </si>
  <si>
    <t>JOURNAL OF PALEOLIMNOLOGY</t>
  </si>
  <si>
    <t>Antarctica; diatoms; Larsemann Hills; pigments; scytonemin; ultraviolet radiation</t>
  </si>
  <si>
    <t>FOSSIL PIGMENTS; OZONE DEPLETION; ENVIRONMENTAL-FACTORS; SOLAR VARIABILITY; LARSEMANN HILLS; CLIMATE-CHANGE; FRESH-WATER; UV; ICE; SCYTONEMIN</t>
  </si>
  <si>
    <t>Late Holocene changes in the ultraviolet radiation (UVR) penetration in a lake in the Larsemann Hills (East Antarctica) were reconstructed using sediment core proxies based on fossil pigments (scytonemins and its derivatives) and siliceous microfossils. The influence of changes in lake depth on the UVR proxy was excluded by applying a correction, based on the non-linear relation between modern scytonemin concentrations and lake depth in a regional reference data set, and the record of past lake depths inferred using a diatom based transfer function in the sediment core. Results showed four well-defined maxima in the UVR proxy during the last 1600-1800 years, centred around 1820-1780, 1580-1490, 790-580 and 680-440 AD. Several mechanisms may account for these observed changes in UVR penetration, including past variability in cloud cover, atmospheric turbidity, ozone column depth, snow cover on the lake ice, DOM concentrations and lake-ice thickness and transparency resulting from temperature fluctuations. Although some gaps remain in our knowledge of scytonemin production in relation to the limnology of Antarctic lakes, the results highlight the importance and potential of the sediments in these highly transparent water bodies as archives of changes in past UVR receipt at the Earth's surface.</t>
  </si>
  <si>
    <t>Univ Ghent, Lab Protistol &amp; Aquat Ecol, B-9000 Ghent, Belgium; Natl Environm Res Council, British Antarctic Survey, Cambridge CB3 OET, England</t>
  </si>
  <si>
    <t>Ghent University; UK Research &amp; Innovation (UKRI); Natural Environment Research Council (NERC); NERC British Antarctic Survey</t>
  </si>
  <si>
    <t>Univ Ghent, Lab Protistol &amp; Aquat Ecol, Krijgslaan 281-S8, B-9000 Ghent, Belgium.</t>
  </si>
  <si>
    <t>elie.verleyen@UGent.be</t>
  </si>
  <si>
    <t>Dasseville, Renaat/B-3561-2010</t>
  </si>
  <si>
    <t>0921-2728</t>
  </si>
  <si>
    <t>1573-0417</t>
  </si>
  <si>
    <t>J PALEOLIMNOL</t>
  </si>
  <si>
    <t>J. Paleolimn.</t>
  </si>
  <si>
    <t>10.1007/s10933-005-4402-0</t>
  </si>
  <si>
    <t>Environmental Sciences; Geosciences, Multidisciplinary; Limnology</t>
  </si>
  <si>
    <t>Environmental Sciences &amp; Ecology; Geology; Marine &amp; Freshwater Biology</t>
  </si>
  <si>
    <t>938AR</t>
  </si>
  <si>
    <t>WOS:000229972800004</t>
  </si>
  <si>
    <t>Thompson, RN; Ottley, CJ; Smith, PM; Pearson, DG; Dickin, AP; Morrison, MA; Leat, PT; Gibson, SA</t>
  </si>
  <si>
    <t>Source of the quaternary alkalic basalts, picrites and basanites of the Potrillo Volcanic Field, New Mexico, USA: Lithosphere or convecting mantle?</t>
  </si>
  <si>
    <t>JOURNAL OF PETROLOGY</t>
  </si>
  <si>
    <t>western USA; picrites; Sr-Nd-Os isotopes; petrogenetic modelling; thermal boundary layer</t>
  </si>
  <si>
    <t>RIO-GRANDE RIFT; PARTIAL MELT COMPOSITIONS; OS ISOTOPE SYSTEMATICS; RE-OS; KILBOURNE-HOLE; CRUSTAL STRUCTURE; CONTINENTAL RIFT; DEEP-STRUCTURE; HOST BASALTS; MAFIC LAVAS</t>
  </si>
  <si>
    <t>The &lt; 80 ka basalts-basanites of the Potrillo Volcanic Field (PVF) form scattered scoria cones, lava flows and maars adjacent to the New Mexico-Mexico border. MgO ranges up to 12.5%; lavas with MgO &lt; 10.7% have fractionated both olivine and clinopyroxene. Cumulate fragments are common in the lavas, as are subhedral megacrysts of aluminous clinopyroxene (with pleonaste inclusions) and kaersutitic amphibole. REE modelling indicates that these megacrysts could be in equilibrium with the PVF melts at similar to 1.6-1.7 GPa pressure. The lavas fall into two geochemical groups: the Main Series (85% of lavas) have major- and trace-element abundances and ratios closely resembling those of worldwide ocean-island alkali basalts and basanites (OIB); the Low-K Series (15%) differ principally by having relatively low K2O and Rb contents. Otherwise, they are chemically indistinguishable from the Main Series lavas. Sr- and Nd-isotopic ratios in the two series are identical and vary by scarcely more than analytical error, averaging Sr-87/Sr-86 = 0.70308 (SD = 0.00004) and Nd-143/Nd-144 = 0.512952 (SD=0.000025). Such compositions would be expected if both series originated from the same mantle source, with Low-K melts generated when amphibole remained in the residuum. Three PVF lavas have very low Os contents (&lt; 14 ppt) and appear to have become contaminated by crustal Os. One Main Series picrite has 209 ppt Os and has a gamma(Os) value of +13.6, typical for OIB. This contrasts with published Os-187/Os-188 ratios for Kilbourne Hole peridotite mantle xenoliths, which give mostly negative gamma(Os) values and show that Proterozoic lithospheric mantle forms a thick Mechanical Boundary Layer (MBL) that extends to similar to 70 km depth beneath the PVF area. The calculated mean primary magma, in equilibrium with Fo(89), has Na2O and FeO contents that give a lherzolite decompression melting trajectory from 2.8 GPa (95 km depth) to 2.2 GPa (70 km depth). Inverse modelling of REE abundances in Main Series Mg-rich lavas is successful for a model invoking decompression melting of convecting sub-lithospheric lherzolite mantle (epsilon Nd = 6.4; T-p similar to 1400 degrees C) between 90 and 70 km. Nevertheless, such a one-stage model cannot account for the genesis of the Low-K Series because amphibole would not be stable within convecting mantle at T-f similar to 1400 degrees C. These magmas can only be accommodated by a three-stage model that envisages a Thermal Boundary Layer (TBL) freezing conductively onto the similar to 70 km base of the Proterozoic MBL during the similar to 20 Myr tectonomagmatic quiescence before PVF eruptions. As it grew, this was veined by hydrous small-fraction melts from below. The geologically recent arrival of hotter-than-ambient (T-p similar to 1400 degrees C) convecting mantle beneath the Potrillo area re-melted the TBL and caused the magmatism.</t>
  </si>
  <si>
    <t>Univ Durham, Dept Geol Sci, Durham DH1 3LE, England; CALTECH, Div Geol &amp; Planetary Sci, Pasadena, CA 91125 USA; McMaster Univ, Dept Geol, Hamilton, ON L8S 4M1, Canada; British Antarctic Survey, Cambridge CB3 0ET, England; Univ Cambridge, Dept Earth Sci, Cambridge CB2 3EQ, England</t>
  </si>
  <si>
    <t>Durham University; California Institute of Technology; McMaster University; UK Research &amp; Innovation (UKRI); Natural Environment Research Council (NERC); NERC British Antarctic Survey; University of Cambridge</t>
  </si>
  <si>
    <t>Univ Durham, Dept Geol Sci, South Rd, Durham DH1 3LE, England.</t>
  </si>
  <si>
    <t>r.n.thompson@durham.ac.uk</t>
  </si>
  <si>
    <t>Pearson, Graham/AAN-5507-2020</t>
  </si>
  <si>
    <t>Gibson, Sally/0000-0002-4835-2908</t>
  </si>
  <si>
    <t>0022-3530</t>
  </si>
  <si>
    <t>1460-2415</t>
  </si>
  <si>
    <t>J PETROL</t>
  </si>
  <si>
    <t>J. Petrol.</t>
  </si>
  <si>
    <t>10.1093/petrology/egi028</t>
  </si>
  <si>
    <t>948OL</t>
  </si>
  <si>
    <t>WOS:000230725500005</t>
  </si>
  <si>
    <t>Korbee, N; Figueroa, FL; Aguilera, J</t>
  </si>
  <si>
    <t>Effect of light quality on the accumulation of photosynthetic pigments, proteins and mycosporine-like amino acids in the red alga Porphyra leucosticta (Bangiales, Rhodophyta)</t>
  </si>
  <si>
    <t>JOURNAL OF PHOTOCHEMISTRY AND PHOTOBIOLOGY B-BIOLOGY</t>
  </si>
  <si>
    <t>light quality; mycosporine-like amino acid; photoreceptor; photosynthesis; Porphyra</t>
  </si>
  <si>
    <t>SYNTHASE GENE-EXPRESSION; BLUE-LIGHT; UV-A; ANTARCTIC MACROALGAE; RADIATION; PHYTOPLANKTON; GROWTH; PHOTOINHIBITION; PHOTOINDUCTION; CYANOBACTERIA</t>
  </si>
  <si>
    <t>The effect of different light qualities (white, blue, green, yellow and red light) on photosynthesis, measured as chlorophyll fluorescence, and the accumulation of photosynthetic pigments, proteins and the UV-absorbing mycosporine-like amino acids (MAAs) was studied in the red alga Porphyra leucosticta. Blue light promoted the highest accumulation of nitrogen metabolism derived compounds i.e., MAAs, phycoerythrin and proteins in previously N-starved algae after seven days culture in ammonium enriched medium. Similar results were observed in the culture under white light. In contrast, the lowest photosynthetic capacity i.e., lowest electron transport rate and lowest photosynthetic efficiency as well as the growth rate were found under blue light, while higher values were found in red and white lights. Blue light favored the accumulation of the MAAs porphyra-334, palythine and asterina-330 in P. leucosticta. However, white, green, yellow and red lights favored the accumulation of shinorine. The increase of porphyra-334, palythine and asterina-330 occurred in blue light simultaneous to a decrease in shinorine. The accumulation of MAAs and other nitrogenous compounds in P. leucosticta under blue light could not be attributed to photosynthesis and the action of a non-photosynthetic blue light photoreceptor is suggested. A non-photosynthetic photoreceptor could be also involved in the MAAs interconversion pathways in P. leucosticta. (c) 2005 Elsevier B.V. All rights reserved.</t>
  </si>
  <si>
    <t>Univ Malaga, Fac Ciencias, Dept Ecol, Malaga 29071, Spain</t>
  </si>
  <si>
    <t>Universidad de Malaga</t>
  </si>
  <si>
    <t>Univ Malaga, Fac Ciencias, Dept Ecol, Campus Univ Teatinos S-N, Malaga 29071, Spain.</t>
  </si>
  <si>
    <t>nkorbee@uma.es</t>
  </si>
  <si>
    <t>Aguilera, Jose/AGT-5247-2022; Korbee Peinado, Nathalie/K-5995-2014; Lopez Figueroa, Felix Diego/K-7720-2014</t>
  </si>
  <si>
    <t>Aguilera, Jose/0000-0002-1911-111X; Korbee Peinado, Nathalie/0000-0002-9780-4915; Lopez Figueroa, Felix Diego/0000-0003-3580-4693</t>
  </si>
  <si>
    <t>1011-1344</t>
  </si>
  <si>
    <t>J PHOTOCH PHOTOBIO B</t>
  </si>
  <si>
    <t>J. Photochem. Photobiol. B-Biol.</t>
  </si>
  <si>
    <t>10.1016/j.jphotobiol.2005.03.002</t>
  </si>
  <si>
    <t>952KV</t>
  </si>
  <si>
    <t>WOS:000231003300001</t>
  </si>
  <si>
    <t>McMinn, A; Pankowski, A; Delfatti, T</t>
  </si>
  <si>
    <t>Effect of hyperoxia on the growth and photosynthesis of polar sea ice microalgae</t>
  </si>
  <si>
    <t>algae; Antarctic; Arctic; hyperoxia; oxygen; quantum yield; sea ice</t>
  </si>
  <si>
    <t>HIGH O-2 CONCENTRATIONS; CO2-CONCENTRATING MECHANISMS; CHLOROPHYLL FLUORESCENCE; OXYGEN CONCENTRATION; PHOTOINHIBITION; PRODUCTIVITY; CULTURES; OCEAN</t>
  </si>
  <si>
    <t>Sea ice algal communities are naturally exposed to very high concentrations of dissolved oxygen, which are likely to lead to increasing stress levels and declines in productivity. To test this hypothesis, cultures of Fragilariopsis cylindrus (Grun?) Hasle, Pseudo-nitzschia sp., Fragilariopsis curta (Van Heurch), Porosira glacialis (Grunow), and Entomoneis kjellmannii (Cleve) from Antarctic sea ice and Nitzschia frigida from Arctic sea ice were exposed to elevated dissolved oxygen levels, and their growth, maximum quantum yield, relative maximum electron transport rate, and photosynthetic efficiency were measured. At oxygen concentrations equivalent to approximately four times air saturation (89% oxygen), the growth rate and maximum quantum yield were significantly reduced in all taxa. When the oxygen concentration was regularly allowed to drop, the effect on growth and quantum yield was reduced. At lower dissolved oxygen concentrations (52%), the declines in growth and quantum yield were reduced but were still mostly significantly different from the controls (21% oxygen). It is likely that the generation of excess active oxygen radicals in the presence of free oxygen is responsible for most of the decline in growth, maximum quantum yield, relative maximum electron transport rate, and photosynthetic efficiency in all species.</t>
  </si>
  <si>
    <t>Univ Tasmania, Inst Antarctic &amp; So Ocean Studies, Hobart, Tas 7001, Australia</t>
  </si>
  <si>
    <t>Univ Tasmania, Inst Antarctic &amp; So Ocean Studies, Private Bag 252-77, Hobart, Tas 7001, Australia.</t>
  </si>
  <si>
    <t>andrew.mcminn@utas.edu.au</t>
  </si>
  <si>
    <t>10.1111/j.1529-8817.2005.00095.x</t>
  </si>
  <si>
    <t>954HS</t>
  </si>
  <si>
    <t>WOS:000231146000003</t>
  </si>
  <si>
    <t>Ralph, PJ; McMinn, A; Ryan, KG; Ashworth, C</t>
  </si>
  <si>
    <t>Short-term effect of temperature on the photokinetics of microalgae from the surface layers of Antarctic pack ice</t>
  </si>
  <si>
    <t>Antarctica; microalgae; photokinetics; salinity; sea ice; temperature</t>
  </si>
  <si>
    <t>PHOTOSYNTHESIS-IRRADIANCE RELATIONSHIPS; SEA-ICE; ALGAL COMMUNITIES; MCMURDO SOUND; PRIMARY PRODUCTIVITY; QUANTUM YIELD; PHOTOINHIBITION; FLUORESCENCE; SALINITIES; PARAMETERS</t>
  </si>
  <si>
    <t>Microalgae growing within brine channels (85 psu salinity) of the surface ice layers of Antarctic pack ice showed considerable photosynthetic tolerance to the extreme environmental condition. Brine microalgae exposed to temperatures above -5 degrees C and at irradiances up to 350 mu mol photons.m(-2).s(-1) showed no photosynthetic damage or limitations. Photosynthesis was limited (but not photoinhibited) when brine microalgae were exposed to -10 degrees C, provided the irradiance remained under 50 mu mol photons.m(-2).s(-1). The highest level of photosynthetic activity (maximum relative electron transport rate [rETR(max)]) in brine microalgae growing within the surface layer of sea ice was at approximately 18 mu mol electrons.m(-2).s(-1), which occurred at -1.8 degrees C. Effective quantum yield of PSII and rETR(max) of the halotolerant brine microalgae exhibited a temperature-dependent pattern, where both parameters were higher at -1.8 degrees C and lower at -10 degrees C. Relative ETRmax at temperatures above -5 degrees C were stable across a wide range of irradiance.</t>
  </si>
  <si>
    <t>Univ Technol Sydney, Inst Water &amp; Environm Resource Management, Gore Hill, NSW 2065, Australia; Univ Technol Sydney, Dept Environm Sci, Gore Hill, NSW 2065, Australia; Univ Tasmania, Inst Antarctic &amp; So Ocean Studies, Hobart, Tas 7001, Australia; Victoria Univ Wellington, Sch Biol Sci, Wellington, New Zealand</t>
  </si>
  <si>
    <t>University of Technology Sydney; University of Technology Sydney; University of Tasmania; Victoria University Wellington</t>
  </si>
  <si>
    <t>Univ Technol Sydney, Inst Water &amp; Environm Resource Management, Westbourne St, Gore Hill, NSW 2065, Australia.</t>
  </si>
  <si>
    <t>peter.ralph@uts.edu.au</t>
  </si>
  <si>
    <t>Ralph, Peter/L-1527-2019; McMinn, Andrew/A-9910-2008; Ryan, Ken/F-5652-2013</t>
  </si>
  <si>
    <t>Ralph, Peter/0000-0002-3103-7346; Ryan, Ken/0000-0001-7075-0112</t>
  </si>
  <si>
    <t>10.1111/j.1529-8817.2005.00106.x</t>
  </si>
  <si>
    <t>WOS:000231146000006</t>
  </si>
  <si>
    <t>Morgan-Kiss, RM; Ivanov, AG; Pocock, T; Król, M; Gudynaite-Savitch, L; Hüner, NPA</t>
  </si>
  <si>
    <t>The Antarctic psychrophile, Chlamydomonas raudensis Ettl (UWO241) (Chlorophyceae, Chlorophyta), exhibits a limited capacity to photoacclimate to red light</t>
  </si>
  <si>
    <t>77 K and room temperature chl fluorescence; Chlamydomonas raudensis (UWO241); light quality, PSI and PSII; photosynthetic energy balance; PQ pool; psychrophile; state transitions</t>
  </si>
  <si>
    <t>CYANOBACTERIAL PHOTOSYNTHETIC SYSTEM; PHOTOSYSTEM STOICHIOMETRY ADJUSTMENT; HARVESTING COMPLEX-II; ELECTRON-TRANSPORT; ENERGY-DISTRIBUTION; GREEN-ALGA; TRANSCRIPTIONAL CONTROL; CHROMATIC REGULATION; THYLAKOID MEMBRANES; STATE TRANSITIONS</t>
  </si>
  <si>
    <t>The psychrophilic Antarctic alga, Chlamydomonas raudensis Ettl (UWO241), grows under an extreme environment of low temperature and low irradiance of a limited spectral quality (blue-green). We investigated the ability of C. raudensis to acclimate to long-term imbalances in excitation caused by light quality through adjustments in photosystem stoichiometry. Log-phase cultures of C. raudensis and C. reinhardtii grown under white light were shifted to either blue or red light for 12 h. Previously, we reported that C. raudensis lacks the ability to redistribute light energy via the short-term mechanism of state transitions. However, similar to the model of mesophilic alga, C. reinhardtii, the psychrophile retained the capacity for long-term adjustment in energy distribution between PSI and PSII by modulating the levels of PSI reaction center polypeptides, PsaA/PsaB, with minimal changes in the content of the PSII polypeptide, D1, in response to changes in light quality. The functional consequences of the modulation in PSI/PSII stoichiometry in the psychrophile were distinct from those observed in C. reinhardtii. Exposure of C. raudensis to red light caused 1) an inhibition of growth and photosynthetic rates, 2) an increased reduction state of the intersystem plastoquinone pool with concomitant increases in nonphotochemical quenching, 3) an uncoupling of the major light-harvesting complex from the PSII core, and 4) differential thylakoid protein phosphorylation profiles compared with C. reinhardtii. We conclude that the characteristic low levels of PSI relative to PSII set the limit in the capacity of C. raudensis to photoacclimate to an environment enriched in red light.</t>
  </si>
  <si>
    <t>Univ Illinois, Dept Microbiol, Urbana, IL 61801 USA; Univ Western Ontario, Dept Biol, London, ON N6A 5B7, Canada; Univ Western Ontario, Biotron, London, ON N6A 5B7, Canada; Mid Sweden Univ, Dept Nat Sci, Sundsvall, Sweden; Agr &amp; Agri Food Canada, ECORC, Ottawa, ON K1A 0C6, Canada</t>
  </si>
  <si>
    <t>University of Illinois System; University of Illinois Urbana-Champaign; Western University (University of Western Ontario); Western University (University of Western Ontario); Mid-Sweden University; Agriculture &amp; Agri Food Canada</t>
  </si>
  <si>
    <t>Univ Illinois, Dept Microbiol, 131 Burrill Hall, Urbana, IL 61801 USA.</t>
  </si>
  <si>
    <t>rkiss@life.uiuc.edu</t>
  </si>
  <si>
    <t>Morgan-kiss, Rachael/0000-0003-4783-5358; Ivanov, Alexander G./0000-0001-7100-9211; Ivanov, Alexander/0000-0001-7910-5494</t>
  </si>
  <si>
    <t>10.1111/j.1529-8817.2005.04174.x</t>
  </si>
  <si>
    <t>WOS:000231146000010</t>
  </si>
  <si>
    <t>van de Poll, WH; van Leeuwe, MA; Roggeveld, J; Buma, AGJ</t>
  </si>
  <si>
    <t>Nutrient limitation and high irradiance acclimation reduce PAR and UV-induced viability loss in the Antarctic diatom Chaetoceros brevis (Bacillariophyceae)</t>
  </si>
  <si>
    <t>Antarctic diatoms; flow cytometry; irradiance acclimation; nutrient limitation; oxidative stress; photosynthesis; pigments; UVA radiation; UVB radiation; viability</t>
  </si>
  <si>
    <t>ULTRAVIOLET-B RADIATION; PHOTOSYNTHETIC ENERGY-CONVERSION; BIOLOGICAL WEIGHTING FUNCTION; DIADINOXANTHIN CYCLE; OXIDATIVE STRESS; IRON-LIMITATION; PHYTOPLANKTON PHOTOSYNTHESIS; MARINE-PHYTOPLANKTON; ABSORBING COMPOUNDS; EXTREME CONDITIONS</t>
  </si>
  <si>
    <t>The effects of high PAR (400-700 nm), UVA (315-400 nm), and UVB (280-315 nm) radiation on viability and photosynthesis were investigated for Chaetoceros brevis Schutt. This Antarctic marine diatom was cultivated under low, medium, and high irradiance and nitrate, phosphate, silicate, and iron limitation before exposure to a simulated surface irradiance (SSI) treatment, with and without UVB radiation. Light-harvesting and protective pigment composition and PSII parameters were determined before SSI exposure, whereas viability was measured by flow cytometry in combination with a viability stain after the treatment. Recovery of PSII efficiency was measured after 20 h in dim light in a separate experiment. In addition, low and high irradiance acclimated cells were exposed outdoors for 4 h to assess the effects of natural PAR, UVA, and UVB on viability. Low irradiance acclimated cells were particularly sensitive to photo induced viability loss, whereas no viability loss was found after acclimation to high irradiance. Furthermore, nutrient limitation reduced sensitivity to photo induced viability loss, relative to nutrient replete conditions. No additional viability loss was found after UVB exposure. Sunlight exposed cells showed no additional UVB effect on viability, whereas UVA and PAR significantly reduced the viability of low irradiance acclimated cells. Recovery of PSII function was nearly complete in cultures that survived the light treatments. Increased resistance to high irradiance coincided with an increased ratio between protective- and light-harvesting pigments before the SSI treatment, demonstrating the importance of nonphotochemical quenching by diatoxanthin for survival of near-surface irradiance. We conclude that a sudden transfer to high irradiance can be fatal for low irradiance acclimated C. brevis.</t>
  </si>
  <si>
    <t>Univ Groningen, Dept Marine Biol, Ctr Ecol &amp; Evolutionary Studies, NL-9750 AA Haren, Netherlands</t>
  </si>
  <si>
    <t>University of Groningen</t>
  </si>
  <si>
    <t>Univ Groningen, Dept Marine Biol, Ctr Ecol &amp; Evolutionary Studies, POB 14, NL-9750 AA Haren, Netherlands.</t>
  </si>
  <si>
    <t>w.h.van.de.poll@rug.nl</t>
  </si>
  <si>
    <t>10.1111/j.1529-8817.2005.00105.x</t>
  </si>
  <si>
    <t>WOS:000231146000016</t>
  </si>
  <si>
    <t>Thurnherr, AM; St Laurent, LC; Speer, KG; Toole, JM; Ledwell, JR</t>
  </si>
  <si>
    <t>Mixing associated with sills in a canyon on the midocean ridge flank</t>
  </si>
  <si>
    <t>ANTARCTIC BOTTOM WATER; ROUGH TOPOGRAPHY; OCEAN; INTENSE; MODEL</t>
  </si>
  <si>
    <t>To close the global overturning circulation, the production and sinking of dense water at high latitudes must be balanced elsewhere by buoyancy gain and upward vertical motion. Hydrographic and microstructure observations from the Brazil Basin in the South Atlantic Ocean indicate that most of the abyssal mixing there takes place on the topographically rough flank of the midocean ridge. In previous studies it has been suggested that the high level of abyssal mixing observed on the ridge flank is primarily caused by breaking internal waves forced by tidal currents. Here, the results from a detailed analysis of velocity, hydrographic, and microstructure data from a ridge-flank canyon are presented. Two-year-long current-meter records indicate that within the canyon there is a significant along-axial mean flow down the density gradient toward the ridge crest. Five hundred meters above the canyon floor the kinetic energy in the subinertial band exceeds that associated with the semidiurnal tides by approximately a factor of 2. The mean dissipation of kinetic energy inside the canyon exceeds that above the ridge-flank topography by approximately a factor of 5. The largest dissipation values were observed downstream of a narrow, 1000-m-high sill that extends across the full width of the canyon. Along the entire canyon, there is a strong association between the presence of sills and along-axial density gradients, while there is no similar association between the presence of depressions and density gradients. Together, these observations suggest that sill-related mixing contributes at least as much to the diapycnal buoyancy flux in the canyon as tidally forced internal-wave breaking, which is not expected to be associated preferentially with sills. While only approximate to 15% of the interfacial area between Antarctic Bottom Water and North Atlantic Deep Water in the Brazil Basin lie inside canyons, the available data suggest that approximately one-half of the diapycnal buoyancy fluxes take place there. In comparison, the region above the ridge-flank topography accounts for about one-third of the buoyancy fluxes. The apparent importance of sill-related processes for mixing in ridge-flank canyons is therefore of global significance, especially considering that such canyons occur on average every 50 km along 2/3 of the global midocean ridge system, and that sills partially block the canyon axes every few tens of kilometers.</t>
  </si>
  <si>
    <t>Columbia Univ, Lamont Doherty Earth Observ, Palisades, NY 10964 USA; Florida State Univ, Dept Oceanog, Tallahassee, FL 32306 USA; Woods Hole Oceanog Inst, Woods Hole, MA 02543 USA</t>
  </si>
  <si>
    <t>Columbia University; State University System of Florida; Florida State University; Woods Hole Oceanographic Institution</t>
  </si>
  <si>
    <t>Columbia Univ, Lamont Doherty Earth Observ, POB 1000, Palisades, NY 10964 USA.</t>
  </si>
  <si>
    <t>ant@ldeo.columbia.edu</t>
  </si>
  <si>
    <t>Toole, John/0000-0003-2905-0637; Thurnherr, Andreas/0000-0002-1977-7122</t>
  </si>
  <si>
    <t>10.1175/JPO2773.1</t>
  </si>
  <si>
    <t>961ZS</t>
  </si>
  <si>
    <t>WOS:000231701400006</t>
  </si>
  <si>
    <t>Garibotti, IA; Vernet, M; Smith, RC; Ferrario, ME</t>
  </si>
  <si>
    <t>Interannual variability in the distribution of the phytoplankton standing stock across the seasonal sea-ice zone west of the Antarctic Peninsula</t>
  </si>
  <si>
    <t>KRILL EUPHAUSIA-SUPERBA; SOUTHERN-OCEAN; ELEPHANT-ISLAND; AUSTRAL SUMMER; INDIAN SECTOR; COMMUNITY STRUCTURE; STRAIT ANTARCTICA; ORGANIC-CARBON; POLAR FRONT; BIOMASS</t>
  </si>
  <si>
    <t>The spatial distribution of phytoplankton cell abundance, carbon (C) biomass and chlorophyll a (Chl a) concentration was analysed during three summers (1996, 1997 and 1999) in a seasonal sea-ice area, west of the Antarctic Peninsula. The objective of the study was to assess interannual variability in phytoplankton spatial distribution and the mechanisms that regulate phytoplankton accumulation in the water column. Phytoplankton C biomass and Chl a distributions were consistent from year to year, exhibiting a negative on/offshore gradient. The variations in C concentration had a close and non-linear relationship with the upper mixed layer depth, suggesting that the vertical mixing of the water column is the main factor regulating phytoplankton stock. The magnitude of C gradients was 5-fold higher during 1996 than during 1997 and 1999. This was ascribed to interannual variations in the concentration of diatom blooms in the region influenced by sea-ice melting. Vertical distribution of the phytoplankton, as estimated from Chl a profiles, also varied along an on/offshore gradient: Chl a was distributed homogeneously in the upper mixed layer in coastal and mid-shelf stations and concentrated in the deep layer (40-100 m) occupied by the winter waters (WW, remnants of the Antarctic surface waters during summer) in more offshore stations. The region with a deep Chl a maximum layer (DCM layer) was dominated by a phytoplankton assemblage characterized by a relatively high concentration of diatoms. The extent of this region varied from year to year: it was restricted to pelagic waters during 1996, extended to the shelf slope during 1997 and occupied a major portion of the area during 1999. It is hypothesized that iron depletion in near surface waters due to phytoplankton consumption, and a higher concentration in WW, regulated this vertical phytoplankton distribution pattern. Furthermore, we postulate that year-to-year variations in the spatial distribution of the DCM layer were related to interannual variations in the timing of the sea-ice retreat. The similarity between our results and those reported in literature for other areas of the Southern Ocean allows us to suggest that the mechanisms proposed here as regulating phytoplankton stock in our area may be applicable elsewhere.</t>
  </si>
  <si>
    <t>Consejo Nacl Invest Cient &amp; Tecn, CRICYT, Inst Argentino Nivol Glaciol &amp; Ciencias, RA-5500 Mendoza, Argentina; Univ Calif San Diego, Scripps Inst Oceanog, La Jolla, CA 92093 USA; Univ Calif Santa Barbara, Inst Computat Earth Syst Sci, Santa Barbara, CA 93106 USA; Natl Univ La Plata, Fac Ciencias Nat &amp; Museo, RA-1900 La Plata, Argentina</t>
  </si>
  <si>
    <t>Consejo Nacional de Investigaciones Cientificas y Tecnicas (CONICET); University of California System; University of California San Diego; Scripps Institution of Oceanography; University of California System; University of California Santa Barbara; National University of La Plata; Museo La Plata</t>
  </si>
  <si>
    <t>Consejo Nacl Invest Cient &amp; Tecn, CRICYT, Inst Argentino Nivol Glaciol &amp; Ciencias, Casilla Correo 330, RA-5500 Mendoza, Argentina.</t>
  </si>
  <si>
    <t>1464-3774</t>
  </si>
  <si>
    <t>10.1093/plankt/fbi056</t>
  </si>
  <si>
    <t>974LM</t>
  </si>
  <si>
    <t>WOS:000232593000010</t>
  </si>
  <si>
    <t>Totti, C; Calcinai, B; Cerrano, C; Di Camillo, C; Romagnoli, T; Bavestrello, G</t>
  </si>
  <si>
    <t>Diatom assemblages associated with Sphaerotylus antarcticus (Porifera: Demospongiae)</t>
  </si>
  <si>
    <t>SPONGES</t>
  </si>
  <si>
    <t>Sphaeroylus antarchcus is a common Antarctic sponge characterized by a dense spicule fur that covers its surface. This sponge has been sampled at Terra Nova Bay from 22 November 2001 to 29 January 2002 at weekly intervals. On its spicules, a rich assemblage of benthic diatoms has been observed, mainly composed of Hyalodiscus sp., a centric sessile diatom, forming short colonies. The temporal trend of the abundances of these diatoms showed a maximum of 115x10(6) cells g(-1) dry weight (dw) at the end of December. Almost all the diatom frustules observed in the sponge choanosome belonged to the planktonic species Fragilarlopsis curta, which displayed a peak (50x10(6) cells g(-1) dw) in the second half of January. Diatoms that were observed in the choanosome were of a size comparable to that of the inhalant pores, suggesting that sponges actively engulf diatoms, due to the pumping activity of their choanocyte chambers. Sponges, as active filter feeders, therefore represent one important vector in the transfer of energy from planktonic to benthic trophic chains in Antarctic habitats.</t>
  </si>
  <si>
    <t>Univ Politecn Marche, Dipartimento Sci Mare, I-60131 Ancona, Italy; Univ Genoa, DIPTERIS, I-16100 Genoa, Italy</t>
  </si>
  <si>
    <t>Marche Polytechnic University; University of Genoa</t>
  </si>
  <si>
    <t>Univ Politecn Marche, Dipartimento Sci Mare, Via Brecce Bianche, I-60131 Ancona, Italy.</t>
  </si>
  <si>
    <t>cecilia@univpm.it</t>
  </si>
  <si>
    <t>Di Camillo, Cristina/AAI-5960-2021; Cerrano, Carlo/AAF-3557-2019; Bavestrello, Giorgio/JXN-5230-2024; TOTTI, Cecilia Maria/A-9178-2016</t>
  </si>
  <si>
    <t>Di Camillo, Cristina/0000-0002-4031-8158; Cerrano, Carlo/0000-0001-9580-5546; TOTTI, Cecilia Maria/0000-0002-1532-6009; Romagnoli, Tiziana/0009-0009-5181-987X</t>
  </si>
  <si>
    <t>10.1017/S0025315405011720</t>
  </si>
  <si>
    <t>955CB</t>
  </si>
  <si>
    <t>WOS:000231201300008</t>
  </si>
  <si>
    <t>Narayanaswamy, BE; Blake, JA</t>
  </si>
  <si>
    <t>A new species of Orbiniella (Polychaeta: Orbiniidae) from deep basins of Antarctica</t>
  </si>
  <si>
    <t>SYSTEMATICS</t>
  </si>
  <si>
    <t>During the 2002 Antarctic Deep-sea Biodiversity (ANDEEP) programme to the Drake Passage, Weddell Sea Basin and South Sandwich Slope and trench, a new deep-water species of orbiniid polychaete was collected: Orbiniella andeepia sp. nov. Orbiniella andeePia appears to be most closely related to O. marzonensis but differs in capillary setal structure, the type and number of acicular spines found in each podial lobe. Orbiniella andeepia is only the third deep-water species of Orbiniella to be discovered. It exhibits both a wide depth- and geographic-range within the Antarctic slope and abyssal sediments.</t>
  </si>
  <si>
    <t>Univ Massachusetts, Dept Biol, Boston, MA 02125 USA; ENSR, Marine &amp; Coastal Ctr, Woods Hole, MA 02543 USA</t>
  </si>
  <si>
    <t>University of Massachusetts System; University of Massachusetts Boston</t>
  </si>
  <si>
    <t>Narayanaswamy, BE (corresponding author), Scottish Assoc Marine Sci, Dunstaffnage Marine Lab, Oban PA37 1QA, Argyll, Scotland.</t>
  </si>
  <si>
    <t>Bhavani.Narayanaswamy@sams.ac.uk</t>
  </si>
  <si>
    <t>Narayanaswamy, Bhavani/0000-0002-5810-9127</t>
  </si>
  <si>
    <t>10.1017/S0025315405011793</t>
  </si>
  <si>
    <t>WOS:000231201300015</t>
  </si>
  <si>
    <t>Barnes, DKA; Peck, LS</t>
  </si>
  <si>
    <t>Extremes of metabolic strategy in Antarctic Bryozoa</t>
  </si>
  <si>
    <t>BRACHIOPOD LIOTHYRELLA-UVA; LATERNULA ELLIPTICA KING; OXYGEN-CONSUMPTION; SUMMER METABOLISM; FEEDING-ACTIVITY; GEORGE ISLAND; SEASONALITY; GROWTH; TEMPERATURE; LIFE</t>
  </si>
  <si>
    <t>The physiology of many organisms in many places varies with seasonality of environment characteristics. Polar marine environments are amongst the least and most seasonal. For example, sea temperature varies by &lt; 3 degrees C while light climate and primary productivity vary more than elsewhere. Polar nearshore invertebrates generally live life at a slow pace with recorded metabolic rates of 22-454 mu g O-2/g ash-free dry-mass/h. We measured oxygen uptake by three Antarctic cheilostomatid bryozoan species during summer and winter months. Our data suggest that, in many ways, bryozoans differ from other animals. They have enormous metabolic flexibility; more within the order Cheilostomatida than in all other polar marine animals measured to date. One species alone, Kymella polaris, had both the lowest (16.8) and highest (574.9 mu g O-2/g ash-free dry-mass/h levels recorded. Furthermore, Camptoplites bicornis showed no significant change in oxygen consumption with season whereas the final species, Isoseculiflustra tenuis, showed the highest winter to summer metabolic rise (ratio =3.45) reported for a polar species. They may not have a resting state analogous to other animals, but exhibit either full activity or 'dormancy' in which most organic tissues are reabsorbed. The concept of resting metabolism in this taxon may be inappropriate.</t>
  </si>
  <si>
    <t>10.1007/s00227-005-1628-3</t>
  </si>
  <si>
    <t>951WU</t>
  </si>
  <si>
    <t>WOS:000230963900015</t>
  </si>
  <si>
    <t>Nichols, CAM; Guezennec, J; Bowman, JP</t>
  </si>
  <si>
    <t>Bacterial exopolysaccharides from extreme marine environments with special consideration of the southern ocean, sea ice, and deep-sea hydrothermal vents: A review</t>
  </si>
  <si>
    <t>TRANSPARENT EXOPOLYMER PARTICLES; 2 EXTRACELLULAR POLYSACCHARIDES; PHYTOPLANKTON-DERIVED DETRITUS; DISSOLVED ORGANIC-MATTER; WEDDELL SEA; ALTEROMONAS SP; MICROBIAL AGGREGATION; ACIDIC POLYSACCHARIDE; CHEMICAL-COMPOSITION; ACTIVATED-SLUDGE</t>
  </si>
  <si>
    <t>Exopolysaccharides (EPSs) are high molecular weight carbohydrate polymers that make up a substantial component of the extracellular polymers surrounding most microbial cells in the marine environment. EPSs constitute a large fraction of the reduced carbon reservoir in the ocean and enhance the survival of marine bacteria by influencing the physicochemical environment around the bacterial cell. Microbial EPSs are abundant in the Antarctic marine environment, for example, in sea ice and ocean particles, where they may assist microbial communities to endure extremes of temperature, salinity, and nutrient availability. The microbial biodiversity of Antarctic ecosystems is relatively unexplored. Deep-sea hydrothermal vent environments are characterized by high pressure, extreme temperature, and heavy metals. The commercial value of microbial EPSs from these habitats has been established recently. Extreme environments offer novel microbial biodiversity that produces varied and promising EPSs. The biotechnological potential of these biopolymers from hydrothermal vent environments as well as from Antarctic marine ecosystems remains largely untapped.</t>
  </si>
  <si>
    <t>Univ Tasmania, Sch Agr Sci, Hobart, Tas 7000, Australia; IFREMER, Ctr Brest, DRV VP, F-29280 Plouzane, France; Univ Tasmania, Australian Ctr Excellence Food Safety, Hobart, Tas 7000, Australia</t>
  </si>
  <si>
    <t>University of Tasmania; Ifremer; University of Tasmania</t>
  </si>
  <si>
    <t>Univ Tasmania, Sch Agr Sci, GPO Box 252-54, Hobart, Tas 7000, Australia.</t>
  </si>
  <si>
    <t>Mancuso@utas.edu.au</t>
  </si>
  <si>
    <t>Nichols, Carol/C-2290-2008; Bowman, John P/C-2414-2014; Bowman, John P./ABF-5108-2020</t>
  </si>
  <si>
    <t>Nichols, Carol/0000-0002-2739-4690; Bowman, John P/0000-0002-4528-9333; Bowman, John P./0000-0002-4528-9333</t>
  </si>
  <si>
    <t>10.1007/s10126-004-5118-2</t>
  </si>
  <si>
    <t>959FP</t>
  </si>
  <si>
    <t>WOS:000231503200001</t>
  </si>
  <si>
    <t>Villa, G; Palandri, S; Wise, SW</t>
  </si>
  <si>
    <t>Quaternary calcareous nannofossils from Periantarctic basins: Paleoecological and paleoclimatic implications</t>
  </si>
  <si>
    <t>calcareous nannofossil; Antarctica; paleoecology; quaternary</t>
  </si>
  <si>
    <t>GLACIAL-INTERGLACIAL DEPOSITION; NORWEGIAN-GREENLAND SEA; CENTRAL ARCTIC-OCEAN; VOSTOK ICE CORE; ANTARCTIC PENINSULA; SOUTHERN-OCEAN; ATLANTIC-OCEAN; PLEISTOCENE FLUCTUATIONS; CONTINENTAL RISE; PACIFIC MARGIN</t>
  </si>
  <si>
    <t>Currently, coccolithophores have a widespread oceanic distribution and are reported from most latitudes, but not those higher than 65 degrees S. Fifteen piston cores were sampled with the aim of investigating the distribution and abundance variation of Quaternary calcareous nannofossils of the Antarctic region, south of the Antarctic Divergence (&gt; 65 degrees S), particularly from Maud Rise, Bausan Bank, and from Weddell, Ross and Bellingshausen Seas. A calcareous nannofossil cold-taxa association is present in most of the cores examined and their discontinuous occurrence is thought to indicate key environmental relationships. The presence of calcareous nannofossils is correlated with interglacial intervals with warmer SSTs and may indicate high productivity and an open-ocean environment. Our results confirm that, during short periods of the late Quaternary, cocco-lithophorids occurred at southern high latitudes, in the western Antarctic basins, while in the eastern Antarctic basins they are nearly absent, suggesting more variable SSTs near West Antarctic Tee Sheet. (c) 2005 Elsevier B.V. All rights reserved.</t>
  </si>
  <si>
    <t>Univ Parma, Dipartimento Sci Terra, I-43100 Parma, Italy; Univ Pisa, Dipartimento Sci Terra, I-56126 Pisa, Italy; Florida State Univ, Dept Geol, Tallahassee, FL 32306 USA; Florida State Univ, Antarctic Marine Geol Res Facil, Tallahassee, FL 32306 USA</t>
  </si>
  <si>
    <t>University of Parma; University of Pisa; State University System of Florida; Florida State University; State University System of Florida; Florida State University</t>
  </si>
  <si>
    <t>Villa, G (corresponding author), Univ Parma, Dipartimento Sci Terra, Parco Area Sci 157A, I-43100 Parma, Italy.</t>
  </si>
  <si>
    <t>giuliana.villa@unipr.it</t>
  </si>
  <si>
    <t>10.1016/j.marmicro.2005.03.006</t>
  </si>
  <si>
    <t>952XG</t>
  </si>
  <si>
    <t>WOS:000231038800002</t>
  </si>
  <si>
    <t>Northcote, LC; Neil, HL</t>
  </si>
  <si>
    <t>Seasonal variations in foraminiferal flux in the Southern Ocean, Campbell Plateau, New Zealand</t>
  </si>
  <si>
    <t>sediment trap; planktic foraminifera; primary production; high nitrate; low chlorophyll; subantarctic zone; Campbell Plateau</t>
  </si>
  <si>
    <t>SUBTROPICAL FRONT REGION; SEA-SURFACE TEMPERATURE; SUB-ANTARCTIC WATERS; PLANKTONIC-FORAMINIFERA; SEDIMENT TRAPS; SW PACIFIC; INTERGLACIAL CHANGES; ATMOSPHERIC CO2; NORTH PACIFIC; PHYTOPLANKTON</t>
  </si>
  <si>
    <t>Time-incremental sediment trap moorings were deployed at two sites across Campbell Plateau, New Zealand; one in the relatively quiet waters of the plateau interior (Pukaki Rise) and the other at the Antarctic Circumpolar Current-swept margin (eastern Campbell flank). A continuous record of particle flux over 416 days identifies marked differences in faunal composition and seasonal occurrence in response to these two dynamically different Southern Ocean settings. In the shallow and thermally isolated interior of the Pukaki Rise site, the flux of foraminifera was closely linked to the austral spring pulse of primary production, at which time 97% of the total foraminiferal production for the year occurred. This seasonal flux of foraminifera at Pukaki Rise was dominated by the species Globorotalia inflata and Globigerina bulloides. The collapse of phytoplankton production at the end of spring was most likely a result of a co-limitation of iron and silicic acid. Over the deep and dynamic eastern flank of Campbell Plateau there were four seasonal pulses of foraminiferal flux, the largest in spring when almost half of the foraminiferal production occurred. Most of the spring flux at this site consisted of Globorotalia inflata and Globigerinita glutinata. Summer at eastern Campbell flank, exhibited the lowest flux of foraminifera, but the highest species diversity, while autumn and winter fluxes were dominated by the deep-dwelling Globorotalia truncatulinoides. Although there was only a single pulse of foraminiferal flux at Pukaki Rise, its mass (g m(-2) d(-1)) was still greater than that which occurred over the flank, summed across all four seasons. However, the overall standing stock (tests m(-2) d(-1)) on the flank was more than twice that which occurred at the Pukaki Rise site. An examination of core-top material taken from gravity cores collected in the vicinity of the sediment trap locations, revealed typical Southern Ocean foraminiferal assemblages that were markedly dissimilar in proportion to those observed in the sediment traps. (c) 2005 Elsevier B.V. All rights reserved.</t>
  </si>
  <si>
    <t>Natl Inst Water &amp; Atmospher Res Ltd, Wellington, New Zealand</t>
  </si>
  <si>
    <t>National Institute of Water &amp; Atmospheric Research (NIWA) - New Zealand</t>
  </si>
  <si>
    <t>Northcote, LC (corresponding author), Natl Inst Water &amp; Atmospher Res Ltd, Wellington, New Zealand.</t>
  </si>
  <si>
    <t>10.1016/j.marmicro.2005.05.001</t>
  </si>
  <si>
    <t>WOS:000231038800003</t>
  </si>
  <si>
    <t>Rubin, AE; Huber, H</t>
  </si>
  <si>
    <t>A weathering index for CK and R chondrites</t>
  </si>
  <si>
    <t>COMPOSITIONAL CLASSIFICATION; KOBE METEORITE; RUMURUTI</t>
  </si>
  <si>
    <t>We present a new weathering index (wi) for the metallic-Fe-Ni-poor chondrite groups (CK and R) based mainly on transmitted light observations of the modal abundance of crystalline material that is stained brown in thin sections: wi-0, &lt; 5 vol%; wi-1, 5-25 vol%; wi-2, 25-50 vol%; wi-3, 50-75 vol%; wi-4, 75-95 vol%; wi-5, &gt; 95 vol%; wi-6, significant replacement of mafic silicates by phyllosilicates. Brown staining reflects mobilization of oxidized iron derived mainly from terrestrial weathering of Ni-bearing sulfide. With increasing degrees of terrestrial weathering of CK and R chondrites, the sulfide modal abundance decreases, and S, Se, and Ni become increasingly depleted. In addition, bulk Cl increases in Antarctic CK chondrites, probably due to contamination from airborne sea mist.</t>
  </si>
  <si>
    <t>Univ Calif Los Angeles, Inst Geophys &amp; Planetary Phys, Los Angeles, CA 90095 USA</t>
  </si>
  <si>
    <t>Rubin, AE (corresponding author), Univ Calif Los Angeles, Inst Geophys &amp; Planetary Phys, Los Angeles, CA 90095 USA.</t>
  </si>
  <si>
    <t>Huber, Heinz/0000-0001-8504-4915</t>
  </si>
  <si>
    <t>10.1111/j.1945-5100.2005.tb00178.x</t>
  </si>
  <si>
    <t>976SH</t>
  </si>
  <si>
    <t>WOS:000232753100001</t>
  </si>
  <si>
    <t>Vigliarolo, PK; Vera, CS; Diaz, SB</t>
  </si>
  <si>
    <t>Synoptic-scale variability and its relationship with total ozone and Antarctic vortex displacements</t>
  </si>
  <si>
    <t>PRINCIPAL COMPONENT ANALYSIS; SOUTHERN-HEMISPHERE; TRANSPORT; WAVES; STRATOSPHERE; REANALYSIS; AMERICA; WINTER; UARS; DISTURBANCES</t>
  </si>
  <si>
    <t>The main synoptic-scale circulation anomaly pattern over extratropical South America during the austral spring (September-November) is identified by means of rotated extended empirical orthogonal function techniques, applied to the meridional wind perturbation time series at 300 hPa. The dataset is based on 15 spring seasons (1979-93) of meteorological data from the National Centers for Environmental Prediction-Department of Energy Atmospheric Model Intercomparison Project version-2 daily averaged reanalyses, given in 17 vertical levels from 1000 to 10 hPa. The total-ozone daily measurements for the same period are from the Total Ozone Mapping Spectrometer instrument (version 7). The principal synoptic-scale anomaly pattern is associated with an anticyclone-cyclone pair evolving eastward along subpolar latitudes (and hence it is termed the subpolar mode), with a typical length scale of 5000 km and a phase velocity of 8 m s(-1). The subpolar-mode waves, which display the main characteristics of midlatitude baroclinic waves, typically maximize near or above the tropopause and propagate upward into the lower stratosphere, showing large amplitudes even at 50 hPa and above. Subpolar-mode-related circulation anomalies are found to be responsible for large total-ozone daily fluctuations near southern South America and nearby regions. In the positive phase of the subpolar mode, total-ozone fluctuations, which are negative, adopt a sigmoid structure, with a zonal scale as large as the anticyclone-cyclone pair. Moreover, it is herein shown that the associated anticyclone produces a local ozone-column decrease to the north and east of its center, due to adiabatic uplift of air parcels in the upper troposphere and lower stratosphere. At the same time, the downstream cyclonic disturbance is responsible for large negative total-ozone anomalies to the west and south of its center. As the cyclone develops in the lower stratosphere, it promotes the northward incursion of the Antarctic vortex up to about 55 degrees S, along with air masses of highly depleted ozone levels.</t>
  </si>
  <si>
    <t>Consejo Nacl Invest Cient &amp; Tecn, CADIC, RA-9410 Ushuaia, Tierra Fuego, Argentina; Univ Buenos Aires, Dept Ciencias Atmosfera &amp; Oceanos, Buenos Aires, DF, Argentina</t>
  </si>
  <si>
    <t>Vigliarolo, PK (corresponding author), Consejo Nacl Invest Cient &amp; Tecn, CADIC, B Houssay 200,CC 92, RA-9410 Ushuaia, Tierra Fuego, Argentina.</t>
  </si>
  <si>
    <t>paulav@ciudad.com.ar</t>
  </si>
  <si>
    <t>Vera, Carolina/0000-0003-4032-5232</t>
  </si>
  <si>
    <t>10.1175/MWR2977.1</t>
  </si>
  <si>
    <t>955TM</t>
  </si>
  <si>
    <t>WOS:000231250500016</t>
  </si>
  <si>
    <t>Bernardini, E</t>
  </si>
  <si>
    <t>New results from the AMANDA neutrino telescope</t>
  </si>
  <si>
    <t>NUCLEAR PHYSICS B-PROCEEDINGS SUPPLEMENTS</t>
  </si>
  <si>
    <t>Neutrino Oscillation Workshop</t>
  </si>
  <si>
    <t>SEP 11-17, 2004</t>
  </si>
  <si>
    <t>Otranto, ITALY</t>
  </si>
  <si>
    <t>SPECTRA; SEARCH</t>
  </si>
  <si>
    <t>The Antarctic Muon and Neutrino Detector Array (AMANDA) is a Cerenkov telescope which uses the south polar ice cap to search for neutrinos from extraterrestrial sources. We present a preliminary reconstruction of the energy spectrum of atmospheric neutrinos above a few TeV and several recent results on searches for high-energy astrophysical neutrinos, both non-localized and emitted by point-like sources.</t>
  </si>
  <si>
    <t>DESY, D-15735 Zeuthen, Germany; Univ Mainz, Inst Phys, D-55099 Mainz, Germany; Univ Delaware, Bartol Res Inst, Newark, DE 19716 USA; Univ Calif Berkeley, Dept Phys, Berkeley, CA 94720 USA; Univ Dortmund, Inst Phys, D-44221 Dortmund, Germany; Univ Calif Irvine, Dept Phys &amp; Astron, Irvine, CA 92697 USA; Berg Univ Gesamthsch Wuppertal, Fachbereich Phys 8, D-42097 Wuppertal, Germany; Univ Libre Bruxelles, Fac Sci, Brussels, Belgium; Univ Uppsala, Div High Energy Phys, S-75121 Uppsala, Sweden; Univ Wisconsin, Dept Phys, Madison, WI 53706 USA; Stockholm Univ, Dept Phys, SE-10691 Stockholm, Sweden; Univ Mons, B-7000 Mons, Belgium; Lawrence Berkeley Natl Lab, Berkeley, CA 94720 USA; Penn State Univ, Dept Phys, University Pk, PA 16802 USA; Univ Maryland, Dept Phys, College Pk, MD 20742 USA; Vrije Univ Brussels, Dienst ELEM, B-1050 Brussels, Belgium; Univ London Imperial Coll Sci Technol &amp; Med, Blackett Lab, London SW7 2BW, England; Univ Wisconsin, Dept Phys, River Falls, WI 54022 USA</t>
  </si>
  <si>
    <t>Helmholtz Association; Deutsches Elektronen-Synchrotron (DESY); Johannes Gutenberg University of Mainz; University of Delaware; University of California System; University of California Berkeley; Dortmund University of Technology; University of California System; University of California Irvine; University of Wuppertal; Universite Libre de Bruxelles; Uppsala University; University of Wisconsin System; University of Wisconsin Madison; Stockholm University; University of Mons; United States Department of Energy (DOE); Lawrence Berkeley National Laboratory; Pennsylvania Commonwealth System of Higher Education (PCSHE); Pennsylvania State University; Pennsylvania State University - University Park; University System of Maryland; University of Maryland College Park; Vrije Universiteit Brussel; Imperial College London; University of Wisconsin System</t>
  </si>
  <si>
    <t>Bernardini, E (corresponding author), DESY, D-15735 Zeuthen, Germany.</t>
  </si>
  <si>
    <t>Bouhali, Othmane/JXM-3572-2024; Bernardini, Elisa/AAA-4810-2020; Hubert, Daan/I-1096-2019; Wiebusch, Christopher H.V./G-6490-2012; Hundertmark, Stephan/A-6592-2010; Hallgren, Allan/A-8963-2013; Matis, Howard S/HMV-9747-2023; DeYoung, Tyce/O-6895-2019; Schinarakis, Konstantinos/GPK-5766-2022; Kowalski, Marek/G-5546-2012; Diaz Velez, Juan Carlos/T-2788-2018</t>
  </si>
  <si>
    <t>Bouhali, Othmane/0000-0001-7139-7322; Bernardini, Elisa/0000-0003-3108-1141; Hubert, Daan/0000-0002-4365-865X; Wiebusch, Christopher H.V./0000-0002-6418-3008; Matis, Howard S/0000-0003-0764-4389; DeYoung, Tyce/0000-0003-4873-3783; Resconi, Elisa/0000-0003-0705-2770; Bartelt, Matthias/0000-0003-4239-3490; Ackermann, Markus/0000-0001-8952-588X; Perez de los Heros, Carlos/0000-0002-2084-5866; Helbing, Klaus/0000-0003-2072-4172; Schinarakis, Konstantinos/0000-0003-4248-2290; Rhode, Wolfgang/0000-0003-2636-5000; Kowalski, Marek/0000-0001-8594-8666; Desiati, Paolo/0000-0001-9768-1858; Diaz Velez, Juan Carlos/0000-0002-0087-0693; Kampert, Karl-Heinz/0000-0002-2805-0195; Hill, Gary/0000-0001-8881-6802; Burgess, Thomas/0000-0002-6993-5918; Cooley, Jodi/0000-0001-6761-2042</t>
  </si>
  <si>
    <t>0920-5632</t>
  </si>
  <si>
    <t>NUCL PHYS B-PROC SUP</t>
  </si>
  <si>
    <t>Nucl. Phys. B-Proc. Suppl.</t>
  </si>
  <si>
    <t>10.1016/j.nuclphysbps.2005.04.030</t>
  </si>
  <si>
    <t>Physics, Particles &amp; Fields</t>
  </si>
  <si>
    <t>935AR</t>
  </si>
  <si>
    <t>WOS:000229751700067</t>
  </si>
  <si>
    <t>Vats, P; Singh, SN; Singh, VK; Shyam, R; Upadhyay, TN; Singh, SB; Banerjee, PK</t>
  </si>
  <si>
    <t>Appetite regulatory peptides in Indian Antarctic expeditioners</t>
  </si>
  <si>
    <t>NUTRITIONAL NEUROSCIENCE</t>
  </si>
  <si>
    <t>cold; leptin; neuropeptide Y; energy expenditure; food intake; body weight</t>
  </si>
  <si>
    <t>NEUROPEPTIDE-Y NEURONS; OBESE GENE-EXPRESSION; ACUTE COLD-EXPOSURE; FOOD-INTAKE; BODY-WEIGHT; LEPTIN; INSULIN; RATS</t>
  </si>
  <si>
    <t>Antarctica presents an inhospitable environment due to extreme low temperature, high wind velocity, low humidity, snowstorms, long polar days and nights, high level of UV radiations, magnetic storms and increased ionisation along with social isolation and sexual deprivation. Acclimatisation to any new condition is associated with certain metabolic changes along with alteration in nutritional requirements. There are reports of increased food intake and gain in body weight during past Indian Antarctic expeditions. Therefore, the present study was undertaken with the aim to assess the changes in appetite regulatory peptides i.e. leptin and neuropeptide Y in relation to energy intake and expenditure of the Antarctic expeditioners. The study was conducted in three phases viz. Phase I at Goa (basal), Phase 1148 h after reaching Antarctica and Phase III after one month of stay at Antarctica. Energy and nutrient intake were analysed from the duplicate plate samples of the expeditioners. Energy expenditure was computed using 24 h activity records for 7 days. Blood samples were collected in each phase for biochemical estimations. After reaching Antarctica, the expeditioners were active and the total energy expenditure (mean +/- SEM, eta = 10) was found to be 3120 +/- 474 kcal/day. The actual energy intake was found to be 3911 3 10 kcal/day. This indicates that the Antarctic expeditioners had very active life and weight gain during expedition could be due to positive energy balance. After 48 h of stay at Antarctica plasma leptin levels (mean SEM, n = 22) decreased from normal basal values 5.66 (0.59) ng/ml (Phase I) to 4.40 (+/- 0.37) ng/ml (Phase II), even though there was an increase in body fat. Increased level of plasma leptin was observed in Phase III as compared to phase I and II. Concomitantly there was increase in plasma neuropeptide Y levels from 0.303 (+/- 0.004) ng/ml to 1.211 (+/- 0.27) ng/ml (p &lt; 0.00 1) in Phase II and decrease in Phase III. The decrease in plasma leptin levels and increase in neuropeptide Y levels in Phase II may be responsible for increase in appetite and gain in body weight at Antarctica.</t>
  </si>
  <si>
    <t>Def Inst Physiol &amp; Allied Sci, Delhi 110054, India</t>
  </si>
  <si>
    <t>Defence Research &amp; Development Organisation (DRDO); Defence Institute of Physiology &amp; Allied Sciences (DIPAS)</t>
  </si>
  <si>
    <t>Vats, P (corresponding author), Def Inst Physiol &amp; Allied Sci, Lucknow Rd, Delhi 110054, India.</t>
  </si>
  <si>
    <t>vatsp2001@rediffmail.com</t>
  </si>
  <si>
    <t>Vats, Praveen/0000-0002-0105-5041</t>
  </si>
  <si>
    <t>1028-415X</t>
  </si>
  <si>
    <t>1476-8305</t>
  </si>
  <si>
    <t>NUTR NEUROSCI</t>
  </si>
  <si>
    <t>Nutr. Neurosci.</t>
  </si>
  <si>
    <t>10.1080/10284150500193726</t>
  </si>
  <si>
    <t>Neurosciences; Nutrition &amp; Dietetics</t>
  </si>
  <si>
    <t>Neurosciences &amp; Neurology; Nutrition &amp; Dietetics</t>
  </si>
  <si>
    <t>012JU</t>
  </si>
  <si>
    <t>WOS:000235336300005</t>
  </si>
  <si>
    <t>Steele, WK</t>
  </si>
  <si>
    <t>Stable isotope ratios of Antarctic petrel (Thalassoica antarctica) and snow petrel (Pagodroma nivea) bone collagen</t>
  </si>
  <si>
    <t>STOMACH OIL DEPOSITS; TROPHIC RELATIONSHIPS; CARBON ISOTOPES; FOOD-WEB; SEABIRDS; DIET; NITROGEN; OCEAN; INSIGHTS; ANIMALS</t>
  </si>
  <si>
    <t>This study investigated the trophic hierarchy status of the Antarctic petrel (Thalassoica antarctica) and snow petrel (Pagodroma nivea) within the Southern Ocean food-web off Dronning Maud Land, Antarctica. During 1991/92 ten Antarctic petrel and ten snow petrel carcasses were collected from Jekselen (71 degrees 59'S, 02 degrees 35'W) and Robertskollen (71 degrees 28'S, 03 degrees 15'W) respectively, in the northern Ahlmannryggen, Dronning Maud Land. Collagen from the dense bone of the humeri of these carcasses was extracted and the stable carbon and nitrogen isotope ratios of these samples determined. The snow petrel bone collagen samples displayed a mean delta(13)C value of -23.9 +/- 0.7 (range: -24.7 to -22.9; n=9) and a mean delta(15)N value of 15.2 +/- 1.6 (range: 12.9 to 18.4; n=10). The corresponding values for Antarctic petrel bone collagen were -24.8 +/- 1.0 (range: -26.2 to -22.8; n=9) and 13.2 +/- 0.6 (range: 12.5 to 13.9; n=8) respectively. The difference between the species' delta(13)C values may indicate differences in their foraging habitat. It has previously been suggested that the snow petrel has a higher wing loading than other Procellariiforme species, making the snow petrel less adapted to pelagic foraging than related species and more likely to forage close to the sea ice edge. Algae growing under sea ice apparently can have comparatively high delta(13)C values, possibly due to growing under carbon dioxide limited conditions. If so, animals foraging close to the sea ice edge might be expected to show higher delta(13)C values in their body tissues than animals foraging farther out over the open ocean. However, the high delta(13)C of snow petrel collagen is possibly more likely to be related to the correspondingly high delta(15)N values found in this tissue, and hence caused by snow petrels including offal from high trophic level Antarctic mammals and birds in their diet.</t>
  </si>
  <si>
    <t>Univ Cape Town, Percy FitzPatrick Inst African Ornithol, ZA-7700 Rondebosch, South Africa</t>
  </si>
  <si>
    <t>Steele, WK (corresponding author), Melbourne Water, Rivers &amp; Drainage Grp, POB 4342, Melbourne, Vic 3001, Australia.</t>
  </si>
  <si>
    <t>steelewk@bigpond.com</t>
  </si>
  <si>
    <t>10.1007/s00300-005-0736-3</t>
  </si>
  <si>
    <t>958CB</t>
  </si>
  <si>
    <t>WOS:000231421200003</t>
  </si>
  <si>
    <t>Variation in phlorotannin content within two species of brown macroalgae (Desmarestia anceps and D-menziesii) from the Western Antarctic Peninsula</t>
  </si>
  <si>
    <t>Antarctica; chemical defence; Desmarestia; intra-thallus variation; phlorotannins</t>
  </si>
  <si>
    <t>ALGA ASCOPHYLLUM-NODOSUM; NORTHEASTERN PACIFIC KELPS; SEAWEED FUCUS-VESICULOSUS; KING-GEORGE ISLAND; NUTRIENT AVAILABILITY; LAMINARIA-HYPERBOREA; TEMPERATE AUSTRALASIA; GASTROPOD HERBIVORES; PHENOLIC-COMPOUNDS; RESISTANCE</t>
  </si>
  <si>
    <t>Phlorotannins are metabolites found only in the Phaeophyceae (brown algae) and have a variety of metabolic roles, including both primary (e.g. cell wall construction) and secondary (e.g. herbivore defence and UV protection). This study aimed to establish the level of variation of phlorotannins in two species of dominant Antarctic macroalgae (Desmarestia anceps and D. menziesii). Thirteen samples were taken from specific locations throughout the thallus of multiple individuals at two depths at three locations near Anvers Island, Antarctica. Overall average concentrations were 0.117 +/- 0.003 g g(-1)dwt in D. anceps and 0.052 +/- 0.002 g g(-1)dwt in D. menziesii. Concentrations varied greatly at the 13 sampling locations in each individual, but not in any consistent manner. Significant variation occurred between locations in both species and between depths in D. anceps.</t>
  </si>
  <si>
    <t>Univ Alabama, Dept Biol, Birmingham, AL 35294 USA; Univ S Florida, Dept Chem, Tampa, FL 33620 USA</t>
  </si>
  <si>
    <t>Fairhead, VA (corresponding author), Univ Alabama, Dept Biol, Birmingham, AL 35294 USA.</t>
  </si>
  <si>
    <t>10.1007/s00300-005-0735-4</t>
  </si>
  <si>
    <t>WOS:000231421200004</t>
  </si>
  <si>
    <t>Olivier, F; van Franeker, JA; Creuwels, JCS; Woehler, EJ</t>
  </si>
  <si>
    <t>Variations of snow petrel breeding success in relation to sea-ice extent: detecting local response to large-scale processes?</t>
  </si>
  <si>
    <t>sea-ice; inter-annual variability; snow petrel; breeding success; nest; long-term monitoring</t>
  </si>
  <si>
    <t>ANTARCTIC PENGUIN POPULATIONS; NINO-SOUTHERN-OSCILLATION; PAGODROMA-NIVEA; SURFACE TEMPERATURE; THALASSOICA-ANTARCTICA; REPRODUCTIVE SUCCESS; ENVIRONMENTAL-CHANGE; CIRCUMPOLAR WAVE; BODY CONDITION; TOP PREDATOR</t>
  </si>
  <si>
    <t>Demographic parameters were estimated for snow petrels Pagodroma nivea nesting at the study colony of Reeve Hill near Casey station, Antarctica between 1984 and 2003. Average breeding success for the colony varied from 18.2% to 76.5%. Breeding effort, hatching and fledging success were subject to a high interannual variability. We examined the influence of regional sea-ice extent on the breeding performance of snow petrels at Reeve Hill. Fewer birds were breeding when sea-ice had been extensive during April-May. Overall breeding success and fledging success were improved during years with extensive sea-ice cover in winter. Successful breeding effort and breeding success were depressed when there was extensive sea-ice cover during January-February. Sea surface temperatures also correlated to snow petrel breeding performance parameters. Previous work showed that large-scale climatic events (ENSO, Antarctic circumpolar wave) and the related sea-ice cover around the Antarctic might affect the lower trophic levels of the marine environment and consequently food availability for snow petrels. A comparison with the long-term study conducted at Ile des Petrels (Terre Adelie) suggests that despite similarities in the underlying biological processes that control snow petrel breeding performance, the nature of the correlation of large-scale environmental factors with breeding performance differs substantially between the two colonies, probably because of the confounding effects of other environmental factors acting at a local scale (local weather, nest quality), which also affect bird body condition.</t>
  </si>
  <si>
    <t>Univ Tasmania, Inst Antarctic &amp; So Ocean Studies, Hobart, Tas 7001, Australia; ALTERRA Texel, NL-1790 AD Den Burg, Texel, Netherlands</t>
  </si>
  <si>
    <t>University of Tasmania; Wageningen University &amp; Research</t>
  </si>
  <si>
    <t>Olivier, F (corresponding author), Univ Tasmania, Inst Antarctic &amp; So Ocean Studies, Private Bag 77, Hobart, Tas 7001, Australia.</t>
  </si>
  <si>
    <t>Woehler, Eric/0000-0002-1125-0748</t>
  </si>
  <si>
    <t>10.1007/s00300-005-0734-5</t>
  </si>
  <si>
    <t>WOS:000231421200005</t>
  </si>
  <si>
    <t>Krell, A; Schnack-Schiel, SB; Thomas, DN; Kattner, G; Wang, ZP; Dieckmann, GS</t>
  </si>
  <si>
    <t>Phytoplankton dynamics in relation to hydrography, nutrients and zooplankton at the onset of sea ice formation in the eastern Weddell Sea (Antarctica)</t>
  </si>
  <si>
    <t>Weddell Sea; ASF; hydrography; phytoplankton; seasonal change; community composition; primary production; zooplankton</t>
  </si>
  <si>
    <t>SOUTHERN-OCEAN; BIOMASS; SUMMER; WINTER; GROWTH; TEMPERATURE; COPEPODS; ZONE; GYRE</t>
  </si>
  <si>
    <t>The quantitative and qualitative distribution of phytoplankton was investigated along five North-South transects in the eastern Weddell Sea during the transition from late autumn to winter. Relationships with the regional hydrography, progressing sea ice coverage, nutrient distribution and zooplankton are discussed and compared with data from other seasons. To the north of the Antarctic Slope Front (ASF) a remnant temperature minimum layer was found above the primary pycnocline throughout summer. Surface waters had not entirely acquired typical winter characteristics. While temperature was already in the winter range, this was not the case for salinity. Highest biomass of phytoplankton, with the exception of the first transect, was found in the region adjoining the ASF to the north. Absolute chlorophyll a (Chl a) concentrations dropped from 0.35 to 0.19 mu g l(-1). Nutrient pools exhibited a replenishing tendency. Ammonium concentrations were high (0.75-2 mu mol l(-1)), indicating extensive heterotrophic activity. The phytoplankton in the ASF region was dominated by nanoflagellates, particularly Phaeocystis spp.. North of the ASF the abundance of diatoms increased, with Fragilariopsis spp., F. cylindrus and Thalassiosira spp. dominating. Community structure varied both due to hydrographical conditions and the advancing ice edge. The phytoplankton assemblage formed during late autumn were very similar to the ones found in early spring. A POC/PON ratio close to Redfield, decreasing POC concentration and a high phaeophytin/Chl a ratio, as well as a high abundance of mesozooplankton indicated that a strong grazing pressure was exerted on the phytoplankton community. A comparison between primary production (PP) in the water column and the sea ice showed a shift of the major portion of PP into the ice during the period of investigation.</t>
  </si>
  <si>
    <t>Alfred Wegener Inst Polar &amp; Marine Res, D-27570 Bremerhaven, Germany; Univ Wales Bangor, Sch Ocean Sci, Menai Bridge LL59 5AB, Anglesey, Wales; Inst Oceanog 2nd, Hangzhou 310012, Peoples R China</t>
  </si>
  <si>
    <t>Helmholtz Association; Alfred Wegener Institute, Helmholtz Centre for Polar &amp; Marine Research; Bangor University</t>
  </si>
  <si>
    <t>akrell@awi-bremerhaven.de</t>
  </si>
  <si>
    <t>Thomas, David Neville/B-1448-2010; Dieckmann, Gerhard S/B-4307-2010</t>
  </si>
  <si>
    <t>Thomas, David Neville/0000-0001-8832-5907;</t>
  </si>
  <si>
    <t>Natural Environment Research Council [NER/A/S/2003/00340] Funding Source: researchfish</t>
  </si>
  <si>
    <t>10.1007/s00300-005-0733-6</t>
  </si>
  <si>
    <t>WOS:000231421200006</t>
  </si>
  <si>
    <t>Hofmeyr, GJG; Krafft, BA; Kirkman, SP; Bester, MN; Lydersen, C; Kovacs, KM</t>
  </si>
  <si>
    <t>Population changes of Antarctic fur seals at Nyroysa, Bouvetoya</t>
  </si>
  <si>
    <t>ARCTOCEPHALUS-GAZELLA; SOUTH GEORGIA; HEARD-ISLAND; BREEDING-SEASON; MARION ISLAND; TROPICALIS; MORTALITY; GROWTH; FORSTERI; OCEAN</t>
  </si>
  <si>
    <t>Antarctic fur seal Arctocephalus gazella pup production at Nyroysa, Bouvetoya was estimated to be approximately 15,000 per annum during each of four summers from 1996 to 2002, indicating a total population of about 66,000. While the Bouvetoya population is the second largest for this species, pup production at this site still accounts for only 2.4% of the global total. This population experienced a mean annual rate of increase of 30.6% for the period 1989-1996, perhaps due, in part, to significant immigration, but has been stable since 1996. Historical accounts of significant numbers of animals being present towards the end of the period of sealing (C.1800-1930), indicate that the geographic isolation and inaccessibility of this site may have resulted in the Bouvetoya population being one of three populations that survived a series of periods of extreme exploitation of this species.</t>
  </si>
  <si>
    <t>Univ Pretoria, Dept Zool &amp; Entomol, Mammal Res Inst, ZA-0002 Pretoria, South Africa; Polar Environm Ctr, Norwegian Polar Inst, N-9296 Tromso, Norway</t>
  </si>
  <si>
    <t>University of Pretoria; Norwegian Polar Institute</t>
  </si>
  <si>
    <t>Hofmeyr, G. J. Greg/AAV-3286-2020; Bester, Marthán N/E-5387-2010; Kirkman, Stephen/AAA-9139-2021</t>
  </si>
  <si>
    <t>10.1007/s00300-005-0732-7</t>
  </si>
  <si>
    <t>WOS:000231421200008</t>
  </si>
  <si>
    <t>Peltier, WR</t>
  </si>
  <si>
    <t>On the hemispheric origins of meltwater pulse 1a</t>
  </si>
  <si>
    <t>GLACIAL-ISOSTATIC-ADJUSTMENT; SEA-LEVEL CHANGES; ANTARCTIC ICE-SHEET; VM2 MODEL; CLIMATE; LAURENTIDE; HISTORY; EARTH; DEGLACIATION; CONSTRAINTS</t>
  </si>
  <si>
    <t>During the glacial-interglacial transition that began subsequent to the Last Glacial Maximum approximately 21,000 calendar years ago, globally averaged (eustatic) sea-level rose by approximately 120 in as climate warmed to its current (Holocene) state. This rise of relative sea-level (RSL) did not occur smoothly, however, but was characterized by the occurrence of one or more episodes of extremely rapid increase. The most extreme of these events has come to be referred to as meltwater pulse 1a, and was initially identified in the coral based record of RSL history from the island of Barbados in the Caribbean Sea. Although it has usually been assumed that this episode of rapid RSL rise was derivative of a partial collapse of the northern hemisphere ice sheets, it has recently been suggested that this pulse could have originated in a dramatic melt-back of the Antarctic Ice Sheet. In this paper the arguments presented in favour of the southern hemisphere source are revisited in order to assess the plausibility of this alternative scenario. Based upon the analyses presented, it is concluded that the evidence previously provided in support of the southern hemisphere scenario is in fact unable to rule out an entirely northern hemisphere source for the meltwater pulse 1a. Since explicit evidence does exist that both the Laurentide and Fennoscandian ice sheets contributed to this event and that Antarctic ice sheet melting occurred significantly later, the southern hemisphere appears not to have been a prime mover of northern hemisphere events.</t>
  </si>
  <si>
    <t>Univ Toronto, Dept Phys, Toronto, ON M5S 1A7, Canada</t>
  </si>
  <si>
    <t>University of Toronto</t>
  </si>
  <si>
    <t>peltier@atmosp.physics.utoronto.ca</t>
  </si>
  <si>
    <t>Peltier, William R./A-1102-2008</t>
  </si>
  <si>
    <t>14-15</t>
  </si>
  <si>
    <t>10.1016/j.quascirev.2004.06.023</t>
  </si>
  <si>
    <t>940YX</t>
  </si>
  <si>
    <t>WOS:000230182900009</t>
  </si>
  <si>
    <t>Moody, CD; Villar, SEJ; Edwards, HGM; Hodgson, DA; Doran, PT; Bishop, JL</t>
  </si>
  <si>
    <t>Biogeological Raman spectroscopic studies of Antarctic lacustrine sediments</t>
  </si>
  <si>
    <t>SPECTROCHIMICA ACTA PART A-MOLECULAR AND BIOMOLECULAR SPECTROSCOPY</t>
  </si>
  <si>
    <t>6th International Conference on Raman Spectroscopy Applied to the Earth and Planetary Sciences</t>
  </si>
  <si>
    <t>JUN 06-11, 2004</t>
  </si>
  <si>
    <t>lacustrine sediments; Antarctica; Mars; Raman spectroscopy</t>
  </si>
  <si>
    <t>Analysis of lacustrine sediments is an accepted method for deciphering the palaeoenvironment of a lake's catchment area, as each strata of the sediment gives information about the rock type it was eroded from and also the state of the lake, i.e. oxic or anoxic. Antarctica has long been accepted as a putative analogue for Mars, so the analysis of Antarctic material may give results that can be compared to sediments on Mars. Raman spectroscopy has been selected as the method of analysis as it does not destroy the sample, can be used in situ and requires very little sample preparation. It is a suitable method for analysing both inorganic and organic matter and a miniature spectrometer is currently being developed for use in the field. The results from the spectrometers can serve as a guide for analysing sediments on Mars. It has been shown that Raman spectroscopy can detect and differentiate between oxic and anoxic sediments. Both 1064 and 785 nm wavelengths are suitable for laser excitation of organic and inorganic matter. (c) 2005 Elsevier B.V. All rights reserved.</t>
  </si>
  <si>
    <t>Univ Bradford, Dept Chem &amp; Forens Sci, Bradford BD7 1DP, W Yorkshire, England; Univ Burgos, Dept Humanidades &amp; Educ, Area Geodinam Interna, Burgos 09001, Spain; British Antarctic Survey, Cambridge CB3 0ET, England; Univ Illinois, Dept Earth &amp; Environm Sci, Chicago, IL 60607 USA; NASA, Ames Res Ctr, Div Space Sci, Moffett Field, CA 94035 USA</t>
  </si>
  <si>
    <t>University of Bradford; Universidad de Burgos; UK Research &amp; Innovation (UKRI); Natural Environment Research Council (NERC); NERC British Antarctic Survey; University of Illinois System; University of Illinois Chicago; University of Illinois Chicago Hospital; National Aeronautics &amp; Space Administration (NASA); NASA Ames Research Center</t>
  </si>
  <si>
    <t>Edwards, HGM (corresponding author), Univ Bradford, Dept Chem &amp; Forens Sci, Bradford BD7 1DP, W Yorkshire, England.</t>
  </si>
  <si>
    <t>Jorge-Villar, Susana E./0000-0003-1676-4438; Bishop, Janice/0000-0002-6681-9954</t>
  </si>
  <si>
    <t>1386-1425</t>
  </si>
  <si>
    <t>SPECTROCHIM ACTA A</t>
  </si>
  <si>
    <t>Spectroc. Acta Pt. A-Molec. Biomolec. Spectr.</t>
  </si>
  <si>
    <t>10.1016/j.saa.2005.02.023</t>
  </si>
  <si>
    <t>952TE</t>
  </si>
  <si>
    <t>WOS:000231027600019</t>
  </si>
  <si>
    <t>Moosvi, SA; McDonald, IR; Pearce, DA; Kelly, DP; Wood, AP</t>
  </si>
  <si>
    <t>Molecular detection and isolation from Antarctica of methylotrophic bacteria able to grow with methylated sulfur compounds</t>
  </si>
  <si>
    <t>SYSTEMATIC AND APPLIED MICROBIOLOGY</t>
  </si>
  <si>
    <t>Antarctica; Signy Island; Hyphomicrobium; Afipia; Methylobacterium; methylotrophy; methanesulfonate; methanol dehydrogenase</t>
  </si>
  <si>
    <t>BACTERIOPLANKTON COMMUNITY STRUCTURE; SP-NOV.; METHANESULFONIC-ACID; SEA-ICE; DIMETHYL SULFIDE; AFIPIA-FELIS; PSYCHROPHILIC BACTERIA; MICROBIAL MATS; SIGNY ISLAND; LAKE VOSTOK</t>
  </si>
  <si>
    <t>This study is the first demonstration that a diverse facultatively methylotrophic microbiota exists in some Antarctic locations. PCR amplification of genes diagnostic for methylotrophs was carried out with bacterial DNA isolated from 14 soil and sediment samples from ten locations on Signy Island, South Orkney Islands, Antarctica. Genes encoding the mxaF of methanol dehydrogenase, the fdxA for Afipia ferredoxin, the msmA of methanesulfonate monooxygenase, and the 16S rRNA gene of Methylobacterium were detected in all samples tested. The mxaF gene sequences corresponded to those of Hyphomicrobium, Methylobacterium, and Methylomonas. Over 30 pure cultures of methylotrophs were isolated on methanesulfonate, dimethylsulfone, or dimethylsulfide from ten Signy Island lakes. Some were identified from 16S rRNA gene sequences (and morphology) as Hyphomicrobium species, strains of Afipia felis, and a methylotrophic Flavobacterium strain. Antarctic environments thus contain diverse methylotrophic bacteria, growing on various C-1-substrates, including C-1-sulfur compounds. (c) 2005 Elsevier GmbH. All rights reserved.</t>
  </si>
  <si>
    <t>Kings Coll London, Dept Life Sci, London SE1 9NH, England; Univ Warwick, Dept Biol Sci, Coventry CV4 7AL, W Midlands, England; British Antarctic Survey, Nat Environm Res Council, Cambridge CB3 0ET, England</t>
  </si>
  <si>
    <t>University of London; King's College London; University of Warwick; UK Research &amp; Innovation (UKRI); Natural Environment Research Council (NERC); NERC British Antarctic Survey</t>
  </si>
  <si>
    <t>Kings Coll London, Dept Life Sci, Franklin Wilkins Bldg,150 Stanford St, London SE1 9NH, England.</t>
  </si>
  <si>
    <t>ann.p.wood@kcl.ac.uk</t>
  </si>
  <si>
    <t>McDonald, Ian R/A-4851-2008</t>
  </si>
  <si>
    <t>McDonald, Ian R/0000-0002-4847-6492; Pearce, David/0000-0001-5292-4596</t>
  </si>
  <si>
    <t>ELSEVIER GMBH, URBAN &amp; FISCHER VERLAG</t>
  </si>
  <si>
    <t>JENA</t>
  </si>
  <si>
    <t>OFFICE JENA, P O BOX 100537, 07705 JENA, GERMANY</t>
  </si>
  <si>
    <t>0723-2020</t>
  </si>
  <si>
    <t>SYST APPL MICROBIOL</t>
  </si>
  <si>
    <t>Syst. Appl. Microbiol.</t>
  </si>
  <si>
    <t>10.1016/j.syapm.2005.03.002</t>
  </si>
  <si>
    <t>954RG</t>
  </si>
  <si>
    <t>WOS:000231171900006</t>
  </si>
  <si>
    <t>Thatje, S</t>
  </si>
  <si>
    <t>The future fate of the Antarctic marine biota?</t>
  </si>
  <si>
    <t>SOUTHERN-OCEAN; TEMPERATURE; DECAPODA</t>
  </si>
  <si>
    <t>Alfred Wegener Inst Polar &amp; Marine Res, Dept Anim Ecol, D-27570 Bremerhaven, Germany</t>
  </si>
  <si>
    <t>Thatje, S (corresponding author), Alfred Wegener Inst Polar &amp; Marine Res, Dept Anim Ecol, Handelshafen 12, D-27570 Bremerhaven, Germany.</t>
  </si>
  <si>
    <t>sthatje@awi-bremerhaven.de</t>
  </si>
  <si>
    <t>10.1016/j.tree.2005.04.013</t>
  </si>
  <si>
    <t>955NO</t>
  </si>
  <si>
    <t>WOS:000231232900004</t>
  </si>
  <si>
    <t>Petryashev, VV</t>
  </si>
  <si>
    <t>Mysids (Crustacea, Mysidacea) collected by soviet and Russian Antarctic Expeditions. Lophogastrida, Petalophthalmida, and Mysida: Boreomysidae</t>
  </si>
  <si>
    <t>A large collection of mysids (392 samplings containing 3150 specimens) was made as a result of thirty-three Russian Antarctic Expeditions (since 1956) in the Antarctic and Subantarctic. The collection included six species of the suborder Lophogastrida out of eight ones inhabiting the region; two species of the suborder Petalophthalmida out of four ones, and five species of the family Boreomysidae (the suborder Mysida) out of nine species that dwell in this area. The new data on the geographical and bathymetric distribution of the mysid species are presented. A key for the identification of all species of lophogastrids, petalophthalmids, and boreomysids inhabiting the study region is given. Biogeographical and bathymetric characteristics are represented for each species.</t>
  </si>
  <si>
    <t>Russian Acad Sci, Inst Zool, St Petersburg 199034, Russia</t>
  </si>
  <si>
    <t>Russian Academy of Sciences; Zoological Institute of the Russian Academy of Sciences</t>
  </si>
  <si>
    <t>Petryashev, VV (corresponding author), Russian Acad Sci, Inst Zool, St Petersburg 199034, Russia.</t>
  </si>
  <si>
    <t>malacostraca@zin.ru</t>
  </si>
  <si>
    <t>968UR</t>
  </si>
  <si>
    <t>WOS:000232188500007</t>
  </si>
  <si>
    <t>Livermore, R; Nankivell, A; Eagles, G; Morris, P</t>
  </si>
  <si>
    <t>Paleogene opening of Drake Passage</t>
  </si>
  <si>
    <t>gateways; Drake Passage; plate kinematics; Cenozoic climate</t>
  </si>
  <si>
    <t>ANTARCTIC PENINSULA; MAGNETIC-ANOMALIES; TECTONIC EVOLUTION; GLOBAL CLIMATE; PLATE MOTIONS; SCOTIA SEA; GLACIATION; SITE-1090; ATLANTIC; EOCENE</t>
  </si>
  <si>
    <t>The timing of events leading to the earliest connection between the Pacific and Atlantic oceans at Drake Passage is controversial but important, because gateway opening probably had a profound effect on global circulation and climate. A rigorous new analysis of marine geophysical data demonstrates a major change in the motion of the South American and Antarctic plates at about 50 Ma, from N-S to WNW-ESE, accompanied by an eightfold increase in separation rate. This would have led to crustal extension and thinning, and perhaps the opening of small oceanic basins, with the probable formation of a shallow (&lt; 1000 in) gateway during the Middle Eocene. No change in South American-Antarctic motion is observed near the Eocene-Oligocene boundary, but a deep-water connection developed between 34 and 30 Ma, when continued extension led to the initiation of seafloor spreading at the West Scotia Ridge. These timings correlate with events seen in the oxygen isotope record from benthic foraminera, and support the view that Drake Passage opening was the trigger for abrupt Eocene-Oligocene climate deterioration and the growth of extensive Antarctic ice sheets. (c) 2005 Elsevier B.V. All rights reserved.</t>
  </si>
  <si>
    <t>British Antarctic Survey, Cambridge CB3 0ET, England; Alfred Wegener Inst Polar &amp; Marine Res, D-2850 Bremerhaven, Germany</t>
  </si>
  <si>
    <t>ral@bas.ac.uk</t>
  </si>
  <si>
    <t>Livermore, Roy/M-1566-2019</t>
  </si>
  <si>
    <t>Eagles, Graeme/0000-0001-5325-0810</t>
  </si>
  <si>
    <t>JUL 30</t>
  </si>
  <si>
    <t>10.1016/j.epsl.2005.03.027</t>
  </si>
  <si>
    <t>958GM</t>
  </si>
  <si>
    <t>WOS:000231432700034</t>
  </si>
  <si>
    <t>Gutiérrez, F; Gioncada, A; Ferran, OG; Lahsen, A; Mazzuoli, R</t>
  </si>
  <si>
    <t>The Hudson Volcano and surrounding monogenetic centres (Chilean Patagonia):: An example of volcanism associated with ridge-trench collision environment</t>
  </si>
  <si>
    <t>JOURNAL OF VOLCANOLOGY AND GEOTHERMAL RESEARCH</t>
  </si>
  <si>
    <t>Hudson Volcano; southern Patagonia; calc-alkaline magmas; ridge subduction; geochemistry</t>
  </si>
  <si>
    <t>TRIPLE-JUNCTION; SOUTHERN CHILE; TRACE-ELEMENT; PLATEAU LAVAS; SUBDUCTION; BASALTS; ZONE; GEOCHEMISTRY; ERUPTION; ANDES</t>
  </si>
  <si>
    <t>Hudson Volcano (45 degrees 54S, 72 degrees 58'W) represents the southernmost central volcano of the South Andean Volcanic Zone (SVZ). It lies about 280 km east of Nazca-Antarctic South American Plate Triple Junction, where the Chile spreading ridge enters the Chile Trench. Hudson is located on the border of a volcanic gap separating the Southern from the Austral Volcanic Zone (AVZ), which is commonly interpreted as linked to a slab window. The volcano is characterised by a volcano-tectonic depression about 10 km wide, set in a morphological high of the Patagonian Batholith. The scarce pre-caldera products are made up of matic lavas interbedded with hyaloclastite. The majority of the volcanic products out from the caldera rims consist of thick deposits of lahars or hyaloclastitic breccias, subordinate lava flows and pyroclastic deposits linked to historical large explosive eruptions. Rough volume calculations on pre-caldera and post-caldera products suggest that the caldera formed in steps in the lifetime of the volcano and that it is mainly linked to a volcano-tectonic collapse during partial emptying of the magma chamber. The monogenetic cones surrounding Hudson (Rio Ibanez and Murta) erupted primitive basalts that gave important clues on magma sources. The volcanic products of Hudson, with composition ranging from basalts to dacites, have a calc-alkaline signature. Nevertheless, they have distinctly higher K2O, TiO2, Na2O, LILE, HFSE and R-EE than the calc-alkaline rocks of SVZ. The basaltic lavas from the monogenetic cones show La/Nb, Ba/Nb and Th/Ta significantly lower than the calc-alkaline lavas. Furthermore, they have some ratios as Th/Yb and La/Yb remarkably low, with values approaching those of MORB-like basalts. All the geochemical characteristics of Rio Ibanez and Murta cones are very similar to those of the basalts dredged in the Chile Ridge. Geochemical modeling suggests that the Hudson basalts may derive from the basalts erupted at the Rio Ibanez centre through an assimilation plus fractional crystallisation process. On the basis of these data, we propose a geodynamical model. In correspondence to the monogenetic centres, close to the border of the incipient opening of the slab window, the magma features are still those of the depleted asthenosphere under the subducting ridge. In this zone, remnant fragments of subducted oceanic crust undergo partial melting processes, while the mantle wedge is deeply modified by subduction-related components. In correspondence to Hudson and the nearby monogenetic centres, the MORB-type primary source component is modified by altered oceanic crust and variably mixed with andesitic magmas having a calc-alkaline signature. A contribution from partial melting of the continental lithosphere may be present in the complex source mixing process at the border of the slab window. (c) 2005 Elsevier B.V. All rights reserved.</t>
  </si>
  <si>
    <t>Univ Chile, Dept Geol, Santiago, Chile; Univ Pisa, Dipartimento Sci Terra, I-56126 Pisa, Italy; Univ Chile, Dept Geog, Santiago, Chile</t>
  </si>
  <si>
    <t>Universidad de Chile; University of Pisa; Universidad de Chile</t>
  </si>
  <si>
    <t>Univ Chile, Dept Geol, Santiago, Chile.</t>
  </si>
  <si>
    <t>mazzuoli@dst.unipi.it</t>
  </si>
  <si>
    <t>Gioncada, Anna/HSC-1389-2023; Gutierrez, Francisco/K-7192-2013</t>
  </si>
  <si>
    <t>Gioncada, Anna/0000-0002-8513-7377; Gutierrez, Francisco/0000-0001-6136-0315</t>
  </si>
  <si>
    <t>0377-0273</t>
  </si>
  <si>
    <t>1872-6097</t>
  </si>
  <si>
    <t>J VOLCANOL GEOTH RES</t>
  </si>
  <si>
    <t>J. Volcanol. Geotherm. Res.</t>
  </si>
  <si>
    <t>10.1016/j.jvolgeores.2005.01.014</t>
  </si>
  <si>
    <t>956MB</t>
  </si>
  <si>
    <t>WOS:000231302800003</t>
  </si>
  <si>
    <t>Ross, PS; Peate, IU; McClintock, MK; Xu, YG; Skilling, IP; White, JDL; Houghton, BF</t>
  </si>
  <si>
    <t>Mafic volcaniclastic deposits in flood basalt provinces: A review</t>
  </si>
  <si>
    <t>flood basalts; phreatomagmatism; pyroclastic; tuff; volcaniclastic; mafic</t>
  </si>
  <si>
    <t>LARGE IGNEOUS PROVINCE; PERMIAN-TRIASSIC BOUNDARY; FERRAR DOLERITE SILLS; SOUTH VICTORIA LAND; SW CHINA; TRANSANTARCTIC MOUNTAINS; 40AR-39AR GEOCHRONOLOGY; ANTARCTIC PENINSULA; KIRKPATRICK-BASALT; CARAPACE NUNATAK</t>
  </si>
  <si>
    <t>Flood volcanic provinces are assumed generally to consist exclusively of thick lavas and shallow intrusive rocks (mostly sills), with any pyroclastic rocks limited to silicie compositions. However, mafic volcaniclastic deposits (MVDs) exist in many provinces, and the eruptions that formed such deposits are potentially meaningful in terms of potential atmospheric impacts and links with mass extinctions. The province where MVDs are the most voluminous-the Siberian Traps-is also the one temporally associated with the greatest Phanerozoic mass extinction. A lot remains to be learned about these deposits and eruptions before a convincing genetic link can be established, but as a first step, this contribution reviews in some detail the current knowledge on MVDs for the provinces in which they are better known, i.e. the North Atlantic Igneous Province (including Greenland, the Faeroe Islands, the British Isles, and tephra layers in the North Sea basin and vicinity), the Ontong Java plateau, the Ferrar, and the Karoo. We also provide a brief overview of what is known about MVDs in other provinces such as the Columbia River Basalts, the Afro-Arabian province, the Deccan Traps, the Siberian Traps, the Emeishan, and an Archean example from Australia. The thickest accumulations of MVDs occur in flood basalt provinces where they underlie the lava pile (Faeroes: &gt; 1 km, Ferrar province: : 400 m, Siberian Traps: 700 m). In the Faeroes case, the great thickness of MVDs can be attributed to accumulation in a local sedimentary basin, but in the Ferrar and Siberian provinces the deposits are widespread (&gt; 3 X 10(5) km(2) for the latter). On the Ontong Java plateau over 300 m of MVDs occur in one drill hole without any overlying lavas. Where the volcaniclastic deposits are sandwiched between lavas, their thickness is much less. In most of the cases reviewed, primary MVDs are predominantly of phreatomagmatic origin, as indicated by the clast assemblage generally consisting of basaltic clasts of variable vesicularity (dominantly non- to poorly-vesicular) mixed with abundant country rock debris. The accidental lithic components often include loose quartz particles derived from poorly consolidated sandstones in underlying sedimentary basins (East Greenland, Ferrar, Karoo). These underlying sediments or sedimentary rocks were not only a source for debris but also aquifers that supplied water to fuel phreatomagmatic activity. In the Parand-Etendeka, by contrast, the climate was apparently very dry when the lavas were emplaced (aeolian sand dunes) and no MVDs are reported. Volcanic vents filled with mafic volcaniclastic material, a few tens of metres to about 5 kin across, are documented in several provinces (Deccan, North Atlantic, Ferrar, Karoo); they are thought to have been excavated in relatively soft country rocks (rarely in flood lavas) by phreatomagmatic activity in a manner analogous to diatreme formation. (c) 2005 Elsevier B.V. All rights reserved. Flood volcanic provinces are assumed generally to consist exclusively of thick lavas and shallow intrusive rocks (mostly sills), with any pyroclastic rocks limited to silicie compositions. However, mafic volcaniclastic deposits (MVDs) exist in many provinces, and the eruptions that formed such deposits are potentially meaningful in terms of potential atmospheric impacts and links with mass extinctions. The province where MVDs are the most voluminous-the Siberian Traps-is also the one temporally associated with the greatest Phanerozoic mass extinction. A lot remains to be learned about these deposits and eruptions before a convincing genetic link can be established, but as a first step, this contribution reviews in some detail the current knowledge on MVDs for the provinces in which they are better known, i.e. the North Atlantic Igneous Province (including Greenland, the Faeroe Islands, the British Isles, and tephra layers in the North Sea basin and vicinity), the Ontong Java plateau, the Ferrar, and the Karoo. We also provide a brief overview of what is known about MVDs in other provinces such as the Columbia River Basalts, the Afro-Arabian province, the Deccan Traps, the Siberian Traps, the Emeishan, and an Archean example from Australia. The thickest accumulations of MVDs occur in flood basalt provinces where they underlie the lava pile (Faeroes: &gt; 1 km, Ferrar province: : 400 m, Siberian Traps: 700 m). In the Faeroes case, the great thickness of MVDs can be attributed to accumulation in a local sedimentary basin, but in the Ferrar and Siberian provinces the deposits are widespread (&gt; 3 X 10(5) km(2) for the latter). On the Ontong Java plateau over 300 m of MVDs occur in one drill hole without any overlying lavas. Where the volcaniclastic deposits are sandwiched between lavas, their thickness is much less. In most of the cases reviewed, primary MVDs are predominantly of phreatomagmatic origin, as indicated by the clast assemblage generally consisting of basaltic clasts of variable vesicularity (dominantly non- to poorly-vesicular) mixed with abundant country rock debris. The accidental lithic components often include loose quartz particles derived from poorly consolidated sandstones in underlying sedimentary basins (East Greenland, Ferrar, Karoo). These underlying sediments or sedimentary rocks were not only a source for debris but also aquifers that supplied water to fuel phreatomagmatic activity. In the Parand-Etendeka, by contrast, the climate was apparently very dry when the lavas were emplaced (aeolian sand dunes) and no MVDs are reported. Volcanic vents filled with mafic volcaniclastic material, a few tens of metres to about 5 kin across, are documented in several provinces (Deccan, North Atlantic, Ferrar, Karoo); they are thought to have been excavated in relatively soft country rocks (rarely in flood lavas) by phreatomagmatic activity in a manner analogous to diatreme formation. (c) 2005 Elsevier B.V. All rights reserved. Flood volcanic provinces are assumed generally to consist exclusively of thick lavas and shallow intrusive rocks (mostly sills), with any pyroclastic rocks limited to silicie compositions. However, mafic volcaniclastic deposits (MVDs) exist in many provinces, and the eruptions that formed such deposits are potentially meaningful in terms of potential atmospheric impacts and links with mass extinctions. The province where MVDs are the most voluminous-the Siberian Traps-is also the one temporally associated with the greatest Phanerozoic mass extinction. A lot remains to be learned about these deposits and eruptions before a convincing genetic link can be established, but as a first step, this contribution reviews in some detail the current knowledge on MVDs for the provinces in which they are better known, i.e. the North Atlantic Igneous Province (including Greenland, the Faeroe Islands, the British Isles, and tephra layers in the North Sea basin and vicinity), the Ontong Java plateau, the Ferrar, and the Karoo. We also provide a brief overview of what is known about MVDs in other provinces such as the Columbia River Basalts, the Afro-Arabian province, the Deccan Traps, the Siberian Traps, the Emeishan, and an Archean example from Australia. The thickest accumulations of MVDs occur in flood basalt provinces where they underlie the lava pile (Faeroes: &gt; 1 km, Ferrar province: : 400 m, Siberian Traps: 700 m). In the Faeroes case, the great thickness of MVDs can be attributed to accumulation in a local sedimentary basin, but in the Ferrar and Siberian provinces the deposits are widespread (&gt; 3 X 10(5) km(2) for the latter). On the Ontong Java plateau over 300 m of MVDs occur in one drill hole without any overlying lavas. Where the volcaniclastic deposits are sandwiched between lavas, their thickness is much less. In most of the cases reviewed, primary MVDs are predominantly of phreatomagmatic origin, as indicated by the clast assemblage generally consisting of basaltic clasts of variable vesicularity (dominantly non- to poorly-vesicular) mixed with abundant country rock debris. The accidental lithic components often include loose quartz particles derived from poorly consolidated sandstones in underlying sedimentary basins (East Greenland, Ferrar, Karoo). These underlying sediments or sedimentary rocks were not only a source for debris but also aquifers that supplied water to fuel phreatomagmatic activity. In the Parand-Etendeka, by contrast, the climate was apparently very dry when the lavas were emplaced (aeolian sand dunes) and no MVDs are reported. Volcanic vents filled with mafic volcaniclastic material, a few tens of metres to about 5 kin across, are documented in several provinces (Deccan, North Atlantic, Ferrar, Karoo); they are thought to have been excavated in relatively soft country rocks (rarely in flood lavas) by phreatomagmatic activity in a manner analogous to diatreme formation. (c) 2005 Elsevier B.V. All rights reserved.</t>
  </si>
  <si>
    <t>Univ Otago, Dept Geol, Dunedin, New Zealand; Univ Iowa, Dept Geosci, Iowa City, IA 52242 USA; Chinese Acad Sci, Gaungzhou Inst Geochem, Guangzhou 510640, Peoples R China; Univ Pittsburgh, Dept Geol &amp; Planetary Sci, Pittsburgh, PA 15260 USA; Univ Hawaii, Dept Geol &amp; Geophys, Honolulu, HI 96822 USA</t>
  </si>
  <si>
    <t>University of Otago; University of Iowa; Chinese Academy of Sciences; Guangzhou Institute of Geochemistry, CAS; Pennsylvania Commonwealth System of Higher Education (PCSHE); University of Pittsburgh; University of Hawaii System</t>
  </si>
  <si>
    <t>Univ Otago, Dept Geol, POB 56, Dunedin, New Zealand.</t>
  </si>
  <si>
    <t>Ross, Pierre-Simon/ABD-2351-2021; Houghton, Bruce F/H-3363-2011; White, James Daniel Lee/D-7751-2013; Xu, Yigang/E-9539-2010</t>
  </si>
  <si>
    <t>Ross, Pierre-Simon/0000-0002-5302-698X; White, James Daniel Lee/0000-0002-2970-711X; Ukstins, Ingrid/0000-0002-2315-9626; Xu, Yigang/0000-0002-9531-7208</t>
  </si>
  <si>
    <t>10.1016/j.jvolgeores.2005.02.003</t>
  </si>
  <si>
    <t>WOS:000231302800007</t>
  </si>
  <si>
    <t>Luis, AJ; Pandey, PC</t>
  </si>
  <si>
    <t>Characteristics of atmospheric divergence and convergence in the Indian Ocean inferred from scatterometer winds</t>
  </si>
  <si>
    <t>REMOTE SENSING OF ENVIRONMENT</t>
  </si>
  <si>
    <t>Indian Ocean; atmospheric convergence/divergence; monsoons; rainfall; scatterometer winds; SST</t>
  </si>
  <si>
    <t>SEA-SURFACE TEMPERATURE; SUMMER MONSOON RAINFALL; VARIABILITY; MECHANISMS; CONVECTION; ZONES; ITCZ</t>
  </si>
  <si>
    <t>Large-scale surface atmospheric convergence and divergence patterns in the Indian Ocean are mapped using high-spatial resolution, merged scatterometer wind vectors during 1991-2000. The convergence zone evolves to north of 15 degrees S as a result of convection promoted by warm (&gt;28 degrees C) equatorial sea surface temperature (SST), and it exhibits strong intensity during boreal summer and winter. A divergence zone evolves to the south of 15 degrees S as a result of subdued convection caused by colder SST (&lt;24 degrees C) that reduces outgoing long-wave radiation; it exhibits enhanced intensity in the eastern Indian Ocean during boreal winter. The interannual variability shows that the divergence in the eastern Indian Ocean lags its western counterpart by 5 - 7 months. The convergence in the eastern Indian Ocean is stronger than its western counterpart during boreal summer. Relationship between Southern Oscillation Index and spatially averaged convergence time series indicate that the latter weakened during strong El Nino years 1994 and 1997. spatially averaged divergence time series show a near-contemporaneous relationship with all-India rainfall, with a temporal lag of 1 similar to 2 months. (C) 2005 Elsevier Inc. All rights reserved.</t>
  </si>
  <si>
    <t>Natl Ctr Antarctic &amp; Ocean Res, Polar Remote Sensing Div, Dept Ocean Dev, Vasco Da Gama 403804, Goa, India</t>
  </si>
  <si>
    <t>Luis, AJ (corresponding author), Natl Ctr Antarctic &amp; Ocean Res, Polar Remote Sensing Div, Dept Ocean Dev, Vasco Da Gama 403804, Goa, India.</t>
  </si>
  <si>
    <t>alvluis@yahoo.com</t>
  </si>
  <si>
    <t>Luis, Dr Alvarinho J./0000-0002-3425-8048</t>
  </si>
  <si>
    <t>0034-4257</t>
  </si>
  <si>
    <t>REMOTE SENS ENVIRON</t>
  </si>
  <si>
    <t>Remote Sens. Environ.</t>
  </si>
  <si>
    <t>10.1016/j.rse.2005.04.016</t>
  </si>
  <si>
    <t>Environmental Sciences; Remote Sensing; Imaging Science &amp; Photographic Technology</t>
  </si>
  <si>
    <t>Environmental Sciences &amp; Ecology; Remote Sensing; Imaging Science &amp; Photographic Technology</t>
  </si>
  <si>
    <t>955NM</t>
  </si>
  <si>
    <t>WOS:000231232700007</t>
  </si>
  <si>
    <t>Padman, L; Fricker, HA</t>
  </si>
  <si>
    <t>Tides on the Ross Ice Shelf observed with ICESat</t>
  </si>
  <si>
    <t>OCEAN; ALTIMETRY</t>
  </si>
  <si>
    <t>The Ice, Cloud and land Elevation Satellite (ICESat) provides the first opportunity for measurement of surface elevation h(i) over the portions of the Antarctic ice shelves that are south of the European Remote Sensing (ERS) satellite maximum latitude (81.5 degrees S). The dominant source of short-period variability in h(i) is ocean tides. We use crossover elevation difference (Delta h(i)) data from the Ross Ice Shelf (RIS) to demonstrate ICESat's ability to detect the tidal signal, and to compare the accuracy of several tide models. The root-mean-square (rms) value of all RIS measurements of Delta h(i) is approximate to 0.74 m; after removing the tide using the most accurate model, the rms of the residual signal in regions of optimal model performance is approximate to 0.16 +/- 0.03 m. This value corresponds to an uncertainty in h(i) of 0.11 +/- 0.02 m. We postulate that the primary sources of the residual signal are tide model errors and the inverse barometer effect.</t>
  </si>
  <si>
    <t>Univ Calif San Diego, Scripps Inst Oceanog, Inst Geophys &amp; Planetary Phys, La Jolla, CA 92093 USA</t>
  </si>
  <si>
    <t>3350 SW Cascade Ave, Corvallis, OR 97333 USA.</t>
  </si>
  <si>
    <t>Padman, Laurence/0000-0003-2010-642X; Fricker, Helen Amanda/0000-0002-0921-1432</t>
  </si>
  <si>
    <t>JUL 29</t>
  </si>
  <si>
    <t>L14503</t>
  </si>
  <si>
    <t>10.1029/2005GL023214</t>
  </si>
  <si>
    <t>951MO</t>
  </si>
  <si>
    <t>WOS:000230934800006</t>
  </si>
  <si>
    <t>Crosta, X; Shemesh, A; Etourneau, J; Yam, R; Billy, I; Pichon, JJ</t>
  </si>
  <si>
    <t>Nutrient cycling in the Indian sector of the Southern Ocean over the last 50,000 years</t>
  </si>
  <si>
    <t>GLACIAL-INTERGLACIAL CHANGES; LATE-QUATERNARY CHANGES; ANTARCTIC SEA-ICE; ATMOSPHERIC CO2; ISOTOPE FRACTIONATION; IRON AVAILABILITY; INORGANIC CARBON; ORGANIC-MATTER; PHYTOPLANKTON; PRODUCTIVITY</t>
  </si>
  <si>
    <t>[1] Most high-southern latitude records of carbon and nitrogen isotopic ratios and elemental ratios are from the Antarctic and Polar Front zones, thus hindering a comprehensive view of nutrient cycling in the Southern Ocean. We present, for the first time, two records from the Subantarctic Zone and the southern Subtropical Zone of the Indian Ocean. These records provide a latitudinal transect covering the main oceanographic systems of the Southern Ocean. Carbon and nitrogen content of the diatom-bound organic matter increases during the last glacial in the Antarctic and Subantarctic zones but does not show a clear climate-related signal in the Subtropical Zone. Comparison of these records with sea-surface temperatures reconstructed at the core locations and record of dust deposition over Antarctica suggests that eolian iron input possibly switched diatom physiology toward higher carbon to silica and nitrogen to silica uptake and storage south of the Subantarctic Front due to the dependency of photosynthesis on iron concentration levels. Conversely, the northernmost core was too remote from any iron source over the last 50,000 years. Antarctic diatoms therefore have the sole potential to change the nutrient content of the waters escaping from the Southern Ocean, hence providing partial support to the silicic leakage hypothesis as a potential cause of lower glacial atmospheric CO2.</t>
  </si>
  <si>
    <t>Univ Bordeaux 1, EPOC, DGO, CNRS,UMR 5805, F-33405 Talence, France; Weizmann Inst Sci, IL-76100 Rehovot, Israel</t>
  </si>
  <si>
    <t>Centre National de la Recherche Scientifique (CNRS); CNRS - National Institute for Earth Sciences &amp; Astronomy (INSU); Universite de Bordeaux; Weizmann Institute of Science</t>
  </si>
  <si>
    <t>Univ Bordeaux 1, EPOC, DGO, CNRS,UMR 5805, Ave Fac, F-33405 Talence, France.</t>
  </si>
  <si>
    <t>x.crosta@epoc.u-bordeaux1.fr</t>
  </si>
  <si>
    <t>GB3007</t>
  </si>
  <si>
    <t>10.1029/2004GB002344</t>
  </si>
  <si>
    <t>951MU</t>
  </si>
  <si>
    <t>WOS:000230935400002</t>
  </si>
  <si>
    <t>Arnoldy, RL; Engebretson, MJ; Denton, RE; Posch, JL; Lessard, MR; Maynard, NC; Ober, DM; Farrugia, CJ; Russell, CT; Scudder, JD; Torbert, RB; Chen, SH; Moore, TE</t>
  </si>
  <si>
    <t>Pc 1 waves and associated unstable distributions of magnetospheric protons observed during a solar wind pressure pulse</t>
  </si>
  <si>
    <t>ION-CYCLOTRON WAVES; MAGNETIC-FIELD; PLASMA INSTRUMENT; INSTABILITY; PULSATIONS; ELECTRON; DENSITY; MODULATION; HARMONICS; SATELLITE</t>
  </si>
  <si>
    <t>[1] We present observations of Pc 1 waves ( similar to 0.6 Hz) that occurred shortly after a strong (&gt; 20 nPa) compression of Earth's magnetosphere at 1321 UT, 18 March 2002. Intense Pc 1 waves were observed at several high-latitude ground stations in Antarctica and Greenland from 1321 UT to beyond 1445 UT. Two wave bursts were recorded at the Polar satellite at 1338 and 1343 - 1344 UT as it passed outbound in the Southern Hemisphere at 1154 local time (SM magnetic latitude of - 22 degrees and near L = 7.5) in good magnetic conjunction with the Antarctic. The pressure increase created a significant population of protons between a few hundred eV and several keV, whose fluxes were mostly perpendicular to B. These protons seem to have replaced the quiescent stream of protons ( presumably convected from the plasma sheet) that existed before this increase. There was also a nearly two-order-of-magnitude increase in the population of thermal/suprathermal (0.32 - 410 eV) protons. The generation of ion cyclotron waves is expected to limit the proton temperature anisotropy A, defined as T-perpendicular to/T-parallel to - 1. The ion cyclotron instability driven by the observed hot ion temperature anisotropy is studied using two models, with and without the presence of cold background plasma. Peaks in the calculated instability as a function of time show excellent agreement with the times of the Polar wave bursts, which were measured a few tens of seconds after maxima in the instability calculation. The time delay is consistent with the propagation time to the spacecraft from a source nearer to the equatorial plane. The hot proton population at Polar appears to be driven back to stability by a sudden increase in very field-aligned protons having energies less than the hot perpendicular population, suggesting a different source for the two populations. These observations confirm the importance of both the energization and/or increase in population of protons transverse to B in the several keV range ( possibly betatron acceleration as a result of the pressure pulse), and the presence of greatly increased fluxes of lower energy protons (100s of eV to a few keV), predominantly aligned along B, in determining whether the particle population is unstable at a given time.</t>
  </si>
  <si>
    <t>Univ New Hampshire, Ctr Space Sci, Durham, NH 03824 USA; Augsburg Coll, Dept Phys, Minneapolis, MN USA; Dartmouth Coll, Dept Phys, Hanover, NH 03755 USA; ATK Miss Res, Nashua, NH USA; Univ Calif Los Angeles, Inst Geophys &amp; Planetary Phys, Los Angeles, CA 90024 USA; Univ Iowa, Dept Phys, Iowa City, IA USA; NASA, Goddard Space Flight Ctr, Greenbelt, MD 20771 USA</t>
  </si>
  <si>
    <t>University System Of New Hampshire; University of New Hampshire; Augsburg University; Dartmouth College; University of California System; University of California Los Angeles; University of Iowa; National Aeronautics &amp; Space Administration (NASA); NASA Goddard Space Flight Center</t>
  </si>
  <si>
    <t>Univ New Hampshire, Ctr Space Sci, Durham, NH 03824 USA.</t>
  </si>
  <si>
    <t>roger.arnoldy@unh.edu; engebret@augsburg.edu; richard.e.denton@dartmouth.edu; posch@augsburg.edu; marc.lessard@unh.edu; nelson.maynard@atk.com; dan.ober@atk.com; charlie.farrugia@unh.ed; ctrussell@igpp.ucla.edu; jds@space-theory.physics.uiowa.edu; roy.torbert@unh.edu; sheng-hsien.chen@gsfc.nasa.gov; thomas.e.moore@nasa.gov</t>
  </si>
  <si>
    <t>Denton, Richard/AGE-4634-2022; Moore, Thomas Earle/D-4675-2012; Scudder, Jack D./D-8417-2013; Russell, Christopher/E-7745-2012</t>
  </si>
  <si>
    <t>Russell, Christopher/0000-0003-1639-8298</t>
  </si>
  <si>
    <t>JUL 28</t>
  </si>
  <si>
    <t>A7</t>
  </si>
  <si>
    <t>A07229</t>
  </si>
  <si>
    <t>10.1029/2005JA011041</t>
  </si>
  <si>
    <t>951QE</t>
  </si>
  <si>
    <t>WOS:000230944700003</t>
  </si>
  <si>
    <t>Jiang, DB; Wang, HJ; Ding, ZL; Lang, XM; Drange, H</t>
  </si>
  <si>
    <t>Modeling the middle Pliocene climate with a global atmospheric general circulation model</t>
  </si>
  <si>
    <t>LAST GLACIAL MAXIMUM; CHINESE LOESS PLATEAU; RED CLAY; NORTHERN-HEMISPHERE; ICE-SHEET; JOINT INVESTIGATIONS; BOUNDARY-CONDITIONS; PALEOCLIMATE; MA; VEGETATION</t>
  </si>
  <si>
    <t>A new climate simulation for the middle Pliocene (ca. 3 Ma BP) is performed by a global grid-point atmospheric general circulation model developed at the Institute of Atmospheric Physics (IAP AGCM) with boundary conditions provided by the U. S. Geological Survey's Pliocene Research, Interpretations, and Synoptic Mapping (PRISM) group. It follows that warmer and slightly wetter conditions dominated at the middle Pliocene with a globally annual mean surface temperature increase of 2.60 degrees C, and an increase in precipitation of 4.0% relative to today. At the middle Pliocene, globally annual terrestrial warming was 1.86 degrees C, with stronger warming toward high latitudes. Annual precipitation enhanced notably at high latitudes, with the augment reaching 33.5% (32.5%) of the present value at 60-90 degrees N (60-90 degrees S). On the contrary, drier conditions were registered over most parts at 0-30 degrees N, especially in much of East Asia and the northern tropical Pacific. In addition, both boreal summer and winter monsoon significantly decreased in East Asia at the middle Pliocene. It is indicated that the IAPAGCM simulation is generally consistent with the results from other atmospheric models and agrees well with available paleoclimatic reconstructions in East Asia. Additionally, it is further revealed that the PRISM warmer sea surface temperature and reduced sea ice extent are main factors determining the middle Pliocene climate. The simulated climatic responses arising from the PRISM reconstructed vegetation and continental ice sheet cannot be neglected on a regional scale at mid to high latitudes (like over Greenland and the Qinghai-Tibetan Plateau, and around the circum-Antarctic) but have little influence on global climate.</t>
  </si>
  <si>
    <t>Chinese Acad Sci, Inst Atmospher Phys, Nansen Zhu Int Res Ctr, Beijing 100029, Peoples R China; Chinese Acad Sci, Inst Geol &amp; Geophys, Beijing 100029, Peoples R China; Nansen Environm &amp; Remote Sensing Ctr, Bergen, Norway</t>
  </si>
  <si>
    <t>Chinese Academy of Sciences; Institute of Atmospheric Physics, CAS; Chinese Academy of Sciences; Institute of Geology &amp; Geophysics, CAS; Nansen Environmental &amp; Remote Sensing Center (NERSC)</t>
  </si>
  <si>
    <t>Chinese Acad Sci, Inst Atmospher Phys, Nansen Zhu Int Res Ctr, Beijing 100029, Peoples R China.</t>
  </si>
  <si>
    <t>jiangdb@mail.iap.ac.cn</t>
  </si>
  <si>
    <t>Jiang, Dabang/I-2243-2014</t>
  </si>
  <si>
    <t>JUL 27</t>
  </si>
  <si>
    <t>D14</t>
  </si>
  <si>
    <t>D14107</t>
  </si>
  <si>
    <t>10.1029/2004JD005639</t>
  </si>
  <si>
    <t>951OW</t>
  </si>
  <si>
    <t>Bronze, Green Published, Green Accepted</t>
  </si>
  <si>
    <t>WOS:000230941200003</t>
  </si>
  <si>
    <t>Crosta, X; Romero, O; Armand, LK; Pichon, JJ</t>
  </si>
  <si>
    <t>The biogeography of major diatom taxa in Southern Ocean sediments: 2. Open ocean related species</t>
  </si>
  <si>
    <t>diatom; Bacillariophyceae; biogeography; PCOZ; Southern Ocean; sediments</t>
  </si>
  <si>
    <t>SURFACE SEDIMENTS; SEA-ICE; ATLANTIC SECTOR; BIOGENIC SILICA; GENUS THALASSIOSIRA; ANTARCTIC DIATOMS; ORGANIC-CARBON; POLAR FRONT; ROSS SEA; RECONSTRUCTION</t>
  </si>
  <si>
    <t>Diatom assemblages from 228 core-top samples were investigated to determine the modem geographic distributions of 10 major open ocean species or species groups in the Atlantic and Indian sectors of the Southern Ocean. Our study gives a more comprehensive view of the relationships between diatom distribution and environmental pressures than previous studies, as our modem database covers a much wider area, and additionally highlights the relationships with sea ice cover and concentration. The 10 species or species categories can mainly be lumped into three groupings. First, a cool open ocean grouping composed of Rhizosolenia pointed group, Thalassiosira gracilis group and Trichotoxon reinboldii with maximum relative abundances occurring within the maximum winter sea-ice edge. Second, a pelagic open ocean grouping composed of Fragilariopsis kerguelensis, Thalassiosira lentiginosa, Thalassiosira oliverana and Thalassiothrix spp. group with maximum occurrences at the Antarctic Polar Front. Third, a warm open ocean grouping with maximum abundances observed within the Polar Front Zone and composed of the Rhizosolenia rounded group, the Thalassionenza nitzschioides var. nitzschioides group and the Thalassionema nitzschioides var. lanceolata. Comparisons of the abovementioned 10 species or species groups with modem February sea-surface temperatures and sea-ice duration and concentration reveal species-specific sedimentary distributions regulated both by sea-surface temperatures and sea ice conditions that support the use of diatom remains to reconstruct past variations of these environmental parameters via qualitative and transfer ftinction approaches. (c) 2005 Elsevier B.V All rights reserved.</t>
  </si>
  <si>
    <t>Univ Bordeaux 1, DGO, UMR 5805, CNRS,EPOC, F-33405 Talence, France; Univ Bremen, Dept Geosci, D-28334 Bremen, Germany; Univ Tasmania, Sch Earth Sci, Hobart, Tas 7001, Australia</t>
  </si>
  <si>
    <t>Centre National de la Recherche Scientifique (CNRS); Universite de Bordeaux; CNRS - National Institute for Earth Sciences &amp; Astronomy (INSU); University of Bremen; University of Tasmania</t>
  </si>
  <si>
    <t>Univ Bordeaux 1, DGO, UMR 5805, CNRS,EPOC, Ave Fac, F-33405 Talence, France.</t>
  </si>
  <si>
    <t>x.crosta@epoc.u-bordeaux1.fr; oromero@allgeo.uni-bremen.de; armand@com.univ-mrs.fr</t>
  </si>
  <si>
    <t>Armand, Leanne K/C-9004-2009</t>
  </si>
  <si>
    <t>Armand, Leanne/0000-0003-3995-308X</t>
  </si>
  <si>
    <t>JUL 25</t>
  </si>
  <si>
    <t>10.1016/j.palaeo.2005.03.028</t>
  </si>
  <si>
    <t>949RV</t>
  </si>
  <si>
    <t>WOS:000230806700006</t>
  </si>
  <si>
    <t>Miller, WR; Mcinnes, SJ; Bergstrom, DM</t>
  </si>
  <si>
    <t>Tardigrades of the Australian Antarctic:: Hypsibius heardensis (Eutardigrada: Hypsibiidae: dujardini group) a new species from sub-antarctic Heard Island</t>
  </si>
  <si>
    <t>Tardigrada; Hypsibius heardensis sp nov.; Heard Island; Antarctica</t>
  </si>
  <si>
    <t>A new species, Hypsibius heardensis sp. nov. (Tardigrada: Eutardigrada: Hypsibiidae) is described from samples collected during the Australian National Antarctic Research Expeditions (ANARE) 1986-87 expedition to Heard Island, in the southern Indian Ocean. The new species belongs to the dujardini group and differs from similar species of Hypsibius by the absence of eyes, large apophyses, near equal macroplacoids, lack of a microplacoid, the presence of a small septulum, and cuticular bars near the base of all claws.</t>
  </si>
  <si>
    <t>Baker Univ, Dept Biol, Baldwin City, KS 66006 USA; British Antarctic Survey, NERC, Cambridge CB3 0ET, England; Australian Antarctic Div, Kingston, Tas 7050, Australia</t>
  </si>
  <si>
    <t>Baker University; UK Research &amp; Innovation (UKRI); Natural Environment Research Council (NERC); NERC British Antarctic Survey; Australian Antarctic Division</t>
  </si>
  <si>
    <t>Baker Univ, Dept Biol, Baldwin City, KS 66006 USA.</t>
  </si>
  <si>
    <t>William.Miller@BakerU.edu; sjmc@bas.ac.uk; Dana.Bergstrom@aad.gov.au</t>
  </si>
  <si>
    <t>McInnes, Sandra/AAN-4773-2020; Bergstrom, Dana/AAC-2837-2022</t>
  </si>
  <si>
    <t>McInnes, Sandra/0000-0003-3403-9379; Bergstrom, Dana/0000-0001-8484-8954</t>
  </si>
  <si>
    <t>949BB</t>
  </si>
  <si>
    <t>WOS:000230758800003</t>
  </si>
  <si>
    <t>Dmitrenko, I; Kirillov, S; Eicken, H; Markova, N</t>
  </si>
  <si>
    <t>Wind-driven summer surface hydrography of the eastern Siberian shelf</t>
  </si>
  <si>
    <t>ARCTIC-OCEAN; LAPTEV SEA; CIRCULATION; VARIABILITY</t>
  </si>
  <si>
    <t>High interannual variability of summer surface salinity over the Laptev and East Siberian Sea shelves derived from historical records of the 1950s - 2000s is attributed to atmospheric vorticity variations. In the cyclonic regime ( positive vorticity) the eastward diversion of the Laptev Sea riverine water results in a negative salinity anomaly to the east of the Lena Delta and farther to the East Siberian Sea, and a positive anomaly to the north of the Lena Delta. Anticyclonic ( negative) vorticity results in negative salinity anomalies northward from the Lena Delta due to freshwater advection toward the north, and a corresponding salinity increase eastward.</t>
  </si>
  <si>
    <t>Univ Alaska Fairbanks, Int Arctic Res Ctr, Fairbanks, AK 99775 USA; Arctic &amp; Antarctic Res Inst, St Petersburg 199397, Russia; Univ Alaska Fairbanks, Inst Geophys, Fairbanks, AK 99775 USA; St Petersburg State Univ, St Petersburg 199034, Russia</t>
  </si>
  <si>
    <t>University of Alaska System; University of Alaska Fairbanks; Arctic &amp; Antarctic Research Institute; University of Alaska System; University of Alaska Fairbanks; Saint Petersburg State University</t>
  </si>
  <si>
    <t>JUL 22</t>
  </si>
  <si>
    <t>L14613</t>
  </si>
  <si>
    <t>10.1029/2005GL023022</t>
  </si>
  <si>
    <t>951GH</t>
  </si>
  <si>
    <t>WOS:000230916900004</t>
  </si>
  <si>
    <t>Mélice, JL; Lutjeharms, JRE; Goosse, H; Fichefet, T; Reason, CJC</t>
  </si>
  <si>
    <t>Evidence for the Antarctic circumpolar wave in the sub-Antarctic during the past 50 years -: art. no. L14614</t>
  </si>
  <si>
    <t>SEA-ICE; SOUTHERN-OCEAN; VARIABILITY; TEMPERATURE; PRESSURE; MODEL</t>
  </si>
  <si>
    <t>Sea surface temperatures have been measured at the islands of Marion (47 degrees S, 38 degrees E) from 1949 to 1998 and Gough (40 degrees S, 10 degrees W) from 1956 to 1998. These are some of the longest records of their kind in the sub-Antarctic. Evidence for the passage of the Antarctic circumpolar wave is apparent at each island, presenting one of the most extended documentation of this phenomenon to date. The highest, negative correlation between the anomalies in each island's sea surface temperature record and the sea ice extent anomalies is observed directly south of each individual island. The sea surface temperature anomalies at Gough lead those at Marion by about one year in average, with mean precession periods of 8.6, 8.9, and 10.4 years in the 60s, 80s and 90s, respectively. These precession periods can be compared to those observed in the sea ice extent anomalies.</t>
  </si>
  <si>
    <t>Univ Cape Town, Dept Oceanog, ZA-7700 Rondebosch, South Africa; Univ Paris 06, Inst Rech Dev, LOCEAN, Paris, France; Catholic Univ Louvain, Inst Astron &amp; Geophys G Lemaitre, B-1348 Louvain, Belgium</t>
  </si>
  <si>
    <t>University of Cape Town; Sorbonne Universite; Museum National d'Histoire Naturelle (MNHN); Institut de Recherche pour le Developpement (IRD); Universite Catholique Louvain</t>
  </si>
  <si>
    <t>Univ Cape Town, Dept Oceanog, ZA-7700 Rondebosch, South Africa.</t>
  </si>
  <si>
    <t>jmelice@ocean.uct.ac.za</t>
  </si>
  <si>
    <t>L14614</t>
  </si>
  <si>
    <t>10.1029/2005GL023361</t>
  </si>
  <si>
    <t>WOS:000230916900009</t>
  </si>
  <si>
    <t>Verronen, PT; Seppälä, A; Clilverd, MA; Rodger, CJ; Kyrölä, E; Enell, CF; Ulich, T; Turunen, E</t>
  </si>
  <si>
    <t>Diurnal variation of ozone depletion during the October-November 2003 solar proton events -: art. no. A09S32</t>
  </si>
  <si>
    <t>POLAR-CAP ABSORPTION; NITRIC-OXIDE; MIDDLE ATMOSPHERE; DISSOCIATIVE RECOMBINATION; PARTICLE-PRECIPITATION; LOWER THERMOSPHERE; MODEL; ION; MESOSPHERE; IONOSPHERE</t>
  </si>
  <si>
    <t>We have studied the short-term effect of the October-November 2003 series of solar proton events on the middle atmosphere. Using the proton flux measurements from the GOES-11 satellite as input, we modeled the effect of the precipitating particles between 26 October and 6 November with a one-dimensional ion and neutral chemistry model. Then we compared the results with ground-based radio propagation measurements, as well as with NO2 and ozone profiles made by the GOMOS satellite instrument. The very low frequency signal experiences up to -7 dB absorption during the largest solar proton event, subsequently varying with time of day during the recovery phase. The model and radio propagation observations show very good agreement, suggesting that the model is capturing the impact of solar protons on the ionosphere. The model results show order-of-magnitude changes in odd hydrogen and odd nitrogen concentrations, as well as ozone depletion varying from 20% at 40 km altitude to more than 95% at 78 km. The magnitude and altitude distribution of ozone depletion is found to depend not only on the flux and energy of the protons but also on the diurnal cycle of atomic oxygen and ozone-depleting constituents so that the largest depletions of ozone are seen during sunrise and sunset. The after-event recovery of ozone is altitude-dependent because of the differences in the recovery of odd hydrogen and odd nitrogen and also because of a relatively faster ozone production at higher altitudes. The modeled and measured NO2 profiles agree well at altitudes 35-60 km, particularly during times of large concentrations observed after the solar proton event onset. A comparison of the time series of ozone depletion shows a good agreement between the model and observations.</t>
  </si>
  <si>
    <t>Finnish Meteorol Inst, Earth Observ, FI-00101 Helsinki, Finland; British Antarctic Survey, NERC, Div Phys Sci, Cambridge CB3 0ET, England; Sodankyla Geophys Observ, FI-99600 Sodankyla, Finland; Univ Otago, Dept Phys, Dunedin, New Zealand</t>
  </si>
  <si>
    <t>Finnish Meteorological Institute; UK Research &amp; Innovation (UKRI); Natural Environment Research Council (NERC); NERC British Antarctic Survey; University of Otago</t>
  </si>
  <si>
    <t>Finnish Meteorol Inst, Earth Observ, POB 503, FI-00101 Helsinki, Finland.</t>
  </si>
  <si>
    <t>pekka.verronen@fmi.fi</t>
  </si>
  <si>
    <t>Verronen, P. T./AIE-0203-2022; Ulich, Thomas/G-3727-2018; Kyrölä, Erkki T/E-1835-2014; Verronen, Pekka T/G-6658-2014; Seppälä, Annika/C-8031-2014; Rodger, Craig/A-1501-2011</t>
  </si>
  <si>
    <t>Verronen, P. T./0000-0002-3479-9071; Ulich, Thomas/0000-0001-8217-022X; Seppälä, Annika/0000-0002-5028-8220; Kyrola, Erkki/0000-0001-9197-9549; Turunen, Esa/0000-0001-8232-8744; Rodger, Craig J./0000-0002-6770-2707</t>
  </si>
  <si>
    <t>A09S32</t>
  </si>
  <si>
    <t>10.1029/2004JA010932</t>
  </si>
  <si>
    <t>951HY</t>
  </si>
  <si>
    <t>WOS:000230921400001</t>
  </si>
  <si>
    <t>Hahn, S; Peter, HU; Bauer, S</t>
  </si>
  <si>
    <t>Skuas at penguin carcass: patch use and state-dependent leaving decisions in a top-predator</t>
  </si>
  <si>
    <t>offspring provisioning; remaining patch size; intake rate; energy requirements; territoriality; Antarctic</t>
  </si>
  <si>
    <t>HABITAT SELECTION; FORAGING BEHAVIOR; PREY DISTRIBUTION; DIET SELECTIVITY; SEX-DIFFERENCES; RISK; CONSEQUENCES; PREFERENCE; SIZE; SEED</t>
  </si>
  <si>
    <t>Foraging decisions depend not only on simple maximization of energy intake but also on parallel fitness-relevant activities that change the forager's 'state'. We characterized patch use and patch leaving rules of a top-predatory seabird, the Brown Skua (Catharacta antarctica lonnbergi), which during its reproductive period in the Antarctic establishes feeding territories in penguin colonies. In feeding trials, we observed how skuas foraged at penguin carcass patches and analysed patch leaving decisions by incorporating the estimated state of foraging birds and patch availability. Patches were exploited in a characteristic temporal pattern with exponentially decreasing remaining patch sizes (RPSs) and intake rates. Patch size decreased particularly fast in small compared to large patches and exploitation ended at a mean RPS of 47.6% irrespective of initial size. We failed to identify a measure which those birds equalized upon patch departure from raw data. However, when accounting for the birds' state, we ascertained remaining patch size and intake rates to have the lowest variance at departure whereas food amount and feeding time remained variable. Statistical correction for territory size only and combined with state had lower effects, but remaining patch size remained the measure with lowest coefficient of variation. Thus, we could clearly reject a fixed-time or fixed-amount strategy for territorial skuas and rather suggest a state-dependent strategy that equalizes remaining patch size. Thus our results provide evidence that under natural conditions, territorial skuas adjust their foraging decision on actual energy requirements, i.e. offspring number and age.</t>
  </si>
  <si>
    <t>Univ Jena, Inst Ecol, D-07743 Jena, Germany; Netherlands Inst Ecol NIOO KNAW, Ctr Limnol, NL-3600 BG Maarssen, Netherlands</t>
  </si>
  <si>
    <t>Friedrich Schiller University of Jena; Royal Netherlands Academy of Arts &amp; Sciences; Netherlands Institute of Ecology (NIOO-KNAW)</t>
  </si>
  <si>
    <t>Hahn, S (corresponding author), Univ Jena, Inst Ecol, Dornburger Str 159, D-07743 Jena, Germany.</t>
  </si>
  <si>
    <t>steffen.hahn@uni-jena.de</t>
  </si>
  <si>
    <t>Bauer, Silke/M-9811-2019; Bauer, Silke/C-3524-2008</t>
  </si>
  <si>
    <t>Bauer, Silke/0000-0002-0844-164X; Bauer, Silke/0000-0002-0844-164X; Hahn, Steffen/0000-0002-4924-495X</t>
  </si>
  <si>
    <t>10.1098/rspb.2005.3106</t>
  </si>
  <si>
    <t>955ZM</t>
  </si>
  <si>
    <t>WOS:000231268700005</t>
  </si>
  <si>
    <t>Papandrea, E; Dudhia, A; Grainger, RG; Vancassel, X; Chipperfield, MP</t>
  </si>
  <si>
    <t>Retrieval of global hydrogen peroxide (H2O2) profiles using ENVISAT-MIPAS -: art. no. L14809</t>
  </si>
  <si>
    <t>MOLECULAR SPECTROSCOPIC DATABASE; MODEL; SPECTROMETRY; EDITION</t>
  </si>
  <si>
    <t>We have used spectra from the Michelson Interferometer for Passive Atmospheric Sounding ( MIPAS) to perform the first global retrievals of stratospheric H2O2. We demonstrate the feasibility of profile retrievals in the range 6 - 35 km and obtain zonal mean maps that average profiles computed from consecutive MIPAS orbits for the periods: December 2002, March, June and September 2003. The retrieved H2O2 values show an equatorial mid- stratospheric peak, enhanced values in the Antarctic springtime lower stratosphere, and diurnal/ seasonal variability. Our retrieved H2O2 profiles are in qualitative agreement with expected photochemistry and with a previous balloon flight.</t>
  </si>
  <si>
    <t>Univ Bologna, Dept Phys &amp; Inorgan Chem, I-40136 Bologna, Italy; Univ Oxford, Clarendon Lab, Oxford OX1 3PU, England; Univ Leeds, Sch Earth &amp; Environm, Inst Atmospher Sci, Leeds LS2 9JT, W Yorkshire, England</t>
  </si>
  <si>
    <t>University of Bologna; University of Oxford; University of Leeds</t>
  </si>
  <si>
    <t>Univ Bologna, Dept Phys &amp; Inorgan Chem, Via Risorgimento 4, I-40136 Bologna, Italy.</t>
  </si>
  <si>
    <t>enzo@safire.fci.unibo.it</t>
  </si>
  <si>
    <t>Vancassel, Xavier/AHA-6375-2022; Papandrea, Enzo/M-2739-2019; Chipperfield, Martyn/H-6359-2013; Grainger, Roy G/E-8823-2011; Papandrea, Enzo/GSO-2158-2022</t>
  </si>
  <si>
    <t>Papandrea, Enzo/0000-0001-6698-0011; Chipperfield, Martyn/0000-0002-6803-4149; Grainger, Roy G/0000-0003-0709-1315; Papandrea, Enzo/0000-0001-6698-0011</t>
  </si>
  <si>
    <t>JUL 21</t>
  </si>
  <si>
    <t>L14809</t>
  </si>
  <si>
    <t>10.1029/2005GL022870</t>
  </si>
  <si>
    <t>951GF</t>
  </si>
  <si>
    <t>WOS:000230916700002</t>
  </si>
  <si>
    <t>Chu, L; Anastasio, C</t>
  </si>
  <si>
    <t>Formation of hydroxyl radical from the photolysis of frozen hydrogen peroxide</t>
  </si>
  <si>
    <t>ATMOSPHERIC BOUNDARY-LAYER; SURFACE SNOW; NITROGEN-DIOXIDE; TROPICAL PACIFIC; INTERSTITIAL AIR; QUANTUM YIELDS; NOX PRODUCTION; SOUTH-POLE; ICE; H2O2</t>
  </si>
  <si>
    <t>Hydrogen peroxide (HOOH) in ice and snow is an important chemical tracer for the oxidative capacities of past atmospheres. However, photolysis in ice and snow will destroy HOOH and form the hydroxyl radical (*OH), which can react with snowpack trace species. Reactions of *OH in snow and ice will affect the composition of both the overlying atmosphere (e.g., by the release of volatile species such as formaldehyde to the boundary layer) and the snow and ice (e.g., by the *OH-mediated destruction of trace organics). To help understand these impacts, we have measured the quantum yield of *OH from the photolysis of HOOH on ice. Our measured quantum yields (Phi(HOOH -&gt; (OH)-O-center dot)) are independent of ionic strength, pH, and wavelength, but are dependent upon temperature. This temperature dependence for both solution and ice data is best described by the relationship ln(Phi(HOOH -&gt; (OH)-O-center dot)) = -(684 +/- 17)(1/T) + (2.27 +/- 0.064) (where errors represent 1 standard error). The corresponding activation energy (E-a) for HOOH (5.7 kJ mol(-1)) is much smaller than that for nitrate photolysis, indicating that the photochemistry of HOOH is less affected by changes in temperature. Using our measured quantum yields, we calculate that the photolytic lifetimes of HOOH in surface snow grains under midday, summer solstice sunlight are approximately 140 h at representative sites on the Greenland and Antarctic ice sheets. In addition, our calculations reveal that the majority of *OH radicals formed on polar snow grains are from HOOH photolysis, while nitrate photolysis is only a minor contributor. Similarly, HOOH appears to be much more important than nitrate as a photochemical source of *OH on cirrus ice clouds, where reactions of the photochemically formed hydroxyl radical could lead to the release of oxygenated volatile organic compounds to the upper troposphere.</t>
  </si>
  <si>
    <t>Univ Calif Davis, Atmosphere Sci Program, Dept Land Air &amp; Water Resources, Davis, CA 95616 USA</t>
  </si>
  <si>
    <t>Univ Calif Davis, Atmosphere Sci Program, Dept Land Air &amp; Water Resources, 1 Shields Ave, Davis, CA 95616 USA.</t>
  </si>
  <si>
    <t>canastasio@ucdavis.edu</t>
  </si>
  <si>
    <t>10.1021/jp051415f</t>
  </si>
  <si>
    <t>945UB</t>
  </si>
  <si>
    <t>WOS:000230526600016</t>
  </si>
  <si>
    <t>Vogel, SW; Tulaczyk, S; Kamb, B; Engelhardt, H; Carsey, FD; Behar, AE; Lane, AL; Joughin, I</t>
  </si>
  <si>
    <t>Subglacial conditions during and after stoppage of an Antarctic Ice Stream: Is reactivation imminent?</t>
  </si>
  <si>
    <t>WEST ANTARCTICA; SURGE MECHANISM; STAGNATION; BENEATH; SHEET; OSCILLATIONS; TRIBUTARIES; SEDIMENTS; GLACIER; BALANCE</t>
  </si>
  <si>
    <t>Borehole observations from the base of the West-Antarctic Ice Sheet (WAIS) reveal the presence of a 10 to 15 m thick accretionary basal ice layer in the upstream area of Kamb Ice Stream (KIS). This ice layer has formed over a time of several thousand years by freeze-on of subglacial water to the ice base and has recorded during this time basal conditions upstream of its current location. Analysis of samples and videos sequences from boreholes drilled to the bottom of KIS confirms that KIS-stoppage was due to basal freeze-on and that relubrication of the ice stream is well underway. These results further suggest that ice stream cyclicity may be shorter than expected (1000s of years) and that a restart of KIS may be imminent within decades to centuries.</t>
  </si>
  <si>
    <t>Univ Calif Santa Cruz, Dept Earth Sci, Santa Cruz, CA 95064 USA; CALTECH, Div Geol &amp; Planetary Sci, Pasadena, CA 91125 USA; CALTECH, Jet Prop Lab, Pasadena, CA 91109 USA</t>
  </si>
  <si>
    <t>University of California System; University of California Santa Cruz; California Institute of Technology; California Institute of Technology; National Aeronautics &amp; Space Administration (NASA); NASA Jet Propulsion Laboratory (JPL)</t>
  </si>
  <si>
    <t>Ohio State Univ, Byrd Polar Res Ctr, Columbus, OH 43210 USA.</t>
  </si>
  <si>
    <t>svogel@geol.niu.edu</t>
  </si>
  <si>
    <t>Joughin, Ian R/A-2998-2008; Joughin, Ian/AAR-7778-2021; Vogel, Stefan/I-1963-2014; Tulaczyk, Slawek/O-7375-2018</t>
  </si>
  <si>
    <t>Joughin, Ian R/0000-0001-6229-679X; Joughin, Ian/0000-0001-6229-679X; Tulaczyk, Slawek/0000-0002-9711-4332; Vogel, Stefan/0000-0002-4350-7130</t>
  </si>
  <si>
    <t>JUL 20</t>
  </si>
  <si>
    <t>L14502</t>
  </si>
  <si>
    <t>10.1029/2005GL022563</t>
  </si>
  <si>
    <t>951GE</t>
  </si>
  <si>
    <t>WOS:000230916600001</t>
  </si>
  <si>
    <t>Thompson, GA; Alder, VA</t>
  </si>
  <si>
    <t>Patterns in tintinnid species composition and abundance in relation to hydrological conditions of the southwestern Atlantic during austral spring</t>
  </si>
  <si>
    <t>tintinnid; biogeography; key species; Brazil-Malvinas Confluence; southwestern Atlantic</t>
  </si>
  <si>
    <t>BRAZIL-MALVINAS CONFLUENCE; SEA-SURFACE TEMPERATURE; SOUTH-ATLANTIC; MICROZOOPLANKTON; VARIABILITY; BAY; CIRCULATION; RATES; BIODIVERSITY; BIOGEOGRAPHY</t>
  </si>
  <si>
    <t>The tintirmid community was assessed on a collection of 42 samples taken at depths of 5, 10, 25 and 50 m from 17 oceanographic stations located along 34 to 62 degrees S, 51 to 57 degrees W, in November 1995. Samples were collected by means of a Niskin bottle cast, and reverse-filtered through a 10 pm mesh filter. A total of 60 tintirmid taxa were recorded, most of which with a distribution circumscribed to Antarctic, Subantarctic or Brazil-Malvinas Confluence waters, thus allowing the distinction of Antarctic, Subantarctic and Transitional biogeographic zones, respectively. A comparison based on the analysis of Niskin bottle versus flowmetered 35 mu m mesh net paired samples indicated that absolute abundances of tintirmid species with diameters &gt;40 mu m almost did not differ between collecting methods. Tintirmid abundances and species structure reflected the degree of variability in the hydrological conditions of the southwestern Atlantic between 1994 and 1995. Sea surface temperature fluctuations within Brazil-Malvinas Confluence waters involved pronounced changes in the tintirmid communities of the Transition Zone: the increase of southward warm water transport during 1994 favoured the dominance of subtropical species along the ecotone, while its decrease during 1995 favoured the contribution of subantarctic species. Low hydrological variability in the Subantarctic and Antarctic Zones was reflected in a quite similar tintinnid community structure during these 2 years. Acanthostomella norvegica forma typica and Cymatocylis antarctica forma typica in the Subantarctic Zone, and Codonellopsis gaussi and Cymatocylis convallaria in the Antarctic Zone, might be regarded as key tintirmid species, based on their persistence and dominance.</t>
  </si>
  <si>
    <t>Univ Buenos Aires, Fac Ciencias Exactas &amp; Nat, Dept Ecol Genet &amp; Evoluc, RA-1428 Buenos Aires, DF, Argentina; Consejo Nacl Invest Cient &amp; Tecn, RA-1033 Buenos Aires, DF, Argentina; Inst Antartico Argentino, RA-1010 Buenos Aires, DF, Argentina</t>
  </si>
  <si>
    <t>University of Buenos Aires; Consejo Nacional de Investigaciones Cientificas y Tecnicas (CONICET); Instituto Antartico Argentino</t>
  </si>
  <si>
    <t>Univ Buenos Aires, Fac Ciencias Exactas &amp; Nat, Dept Ecol Genet &amp; Evoluc, RA-1428 Buenos Aires, DF, Argentina.</t>
  </si>
  <si>
    <t>gustavo@ege.fcen.uba.ar</t>
  </si>
  <si>
    <t>Alder, Viviana A./0000-0002-7375-3279; Thompson, Gustavo/0000-0002-5511-3673</t>
  </si>
  <si>
    <t>JUL 18</t>
  </si>
  <si>
    <t>10.3354/ame040085</t>
  </si>
  <si>
    <t>953IQ</t>
  </si>
  <si>
    <t>WOS:000231070200009</t>
  </si>
  <si>
    <t>Ansorge, IJ; Lutjeharms, JRE</t>
  </si>
  <si>
    <t>Direct observations of eddy turbulence at a ridge in the Southern Ocean</t>
  </si>
  <si>
    <t>ANTARCTIC CIRCUMPOLAR CURRENT; PRINCE-EDWARD-ISLANDS; INDIAN RIDGE; DYNAMICS; EDDIES</t>
  </si>
  <si>
    <t>Mesoscale turbulence in the ACC is concentrated where the current interacts with prominent bottom topography. An unusual region of high levels of turbulence is found downstream of the South-West Indian Ridge. It has been inferred that this turbulence consists largely of eddies generated at a fracture zone in the ridge. A dedicated research cruise to the region has now presented data that allow us for the first time to track these eddies and to describe them in hydrographic detail. We show that these eddies are at least 1000 m deep, have a diameter of 250 km, exhibit azimuthal speeds of up to 0.74 ms(-1), have subsequent translation speeds of up to 0.09 ms(-1) and consist of water masses derived from either north or south of the SAF and APF. Eddies in general are shown to advect in a north-eastward direction and dissipate before reaching a longitude of 40 degrees E.</t>
  </si>
  <si>
    <t>Univ Cape Town, Dept Oceanog, ZA-7925 Cape Town, South Africa</t>
  </si>
  <si>
    <t>Ansorge, IJ (corresponding author), Univ Cape Town, Dept Oceanog, ZA-7700 Rondebosch, South Africa.</t>
  </si>
  <si>
    <t>ansorge@ocean.uct.ac.za</t>
  </si>
  <si>
    <t>ANSORGE, ISABELLE/AAY-7396-2020</t>
  </si>
  <si>
    <t>Ansorge, Isabelle/0000-0001-7071-8147</t>
  </si>
  <si>
    <t>JUL 16</t>
  </si>
  <si>
    <t>L14603</t>
  </si>
  <si>
    <t>10.1029/2005GL022588</t>
  </si>
  <si>
    <t>950BZ</t>
  </si>
  <si>
    <t>WOS:000230833900002</t>
  </si>
  <si>
    <t>Schneider, W; Fukasawa, M; Uchida, H; Kawano, T; Kaneko, I; Fuenzalida, R</t>
  </si>
  <si>
    <t>Observed property changes in eastern South Pacific Antarctic Intermediate Water</t>
  </si>
  <si>
    <t>ATLANTIC-OCEAN</t>
  </si>
  <si>
    <t>We compared potential temperature and salinity of Antarctic Intermediate Water along 32 degrees 30'S, from the coast of Chile to the central South Pacific Ocean between 2003 and 1992, based on two vertically and horizontally high resolution repeat-sections each being 6795 km long. The temperature of Antarctic Intermediate Water, considering the entire body of the Water Mass along the section, increased by 0.048 degrees C, and salinity by 0.002. The increase in salinity could be explained by a slight shift in the evaporation/precipitation balance of the South Pacific Ocean.</t>
  </si>
  <si>
    <t>Univ Concepcion, Dept Oceanog, Concepcion, Chile; Univ Concepcion, Ctr Invest Oceanog Pacifico SurOriental, Concepcion, Chile; JAMSTEC, Independent Adm Inst, Inst Observat Res Global Change, Kanagawa 2370061, Japan; Univ Arturo Prat, Iquique, Chile</t>
  </si>
  <si>
    <t>Universidad de Concepcion; Universidad de Concepcion; National Institute for Materials Science; Japan Agency for Marine-Earth Science &amp; Technology (JAMSTEC); Universidad Arturo Prat</t>
  </si>
  <si>
    <t>Univ Concepcion, Dept Oceanog, Barrio Univ S-N,Cabina 5,Casilla Postal 160-C, Concepcion, Chile.</t>
  </si>
  <si>
    <t>wschneid@udec.cl</t>
  </si>
  <si>
    <t>L14602</t>
  </si>
  <si>
    <t>10.1029/2005GL022801</t>
  </si>
  <si>
    <t>WOS:000230833900003</t>
  </si>
  <si>
    <t>Verde, C; De Rosa, MC; Giordano, D; Mosca, D; De Pascale, D; Raiola, L; Cocca, E; Carratore, V; Giardina, B; Di Prisco, G</t>
  </si>
  <si>
    <t>Structure, function and molecular adaptations of haemoglobins of the polar cartilaginous fish Bathyraja eatonii and Raja hyperborea</t>
  </si>
  <si>
    <t>BIOCHEMICAL JOURNAL</t>
  </si>
  <si>
    <t>Antarctic; Arctic; Bohr effect; haemoglobin; phosphate binding; skate</t>
  </si>
  <si>
    <t>AMINO-ACID-SEQUENCE; OXYGEN-BINDING-PROPERTIES; HETERODONTUS-PORTUSJACKSONI; D-HELIX; TELEOST; SHARK; DEOXYHEMOGLOBIN; TORPEDO; MODELS</t>
  </si>
  <si>
    <t>Cartilaginous fish are very ancient organisms. In the Antarctic sea, the modem chondrichthyan genera are poorly represented, with only three species of sharks and eight species of skates; the paucity of chondrichthyans is probably an ecological consequence of unusual trophic or habitat conditions in the Southern Ocean. In the Arctic, there are 26 species belonging to the class Chondrichthyes. Fish in the two polar regions have been subjected to different regional histories that have influenced the development of diversity: Antarctic marine organisms are highly stenothermal, in response to stable water temperatures, whereas the Arctic communities are exposed to seasonal temperature variations. The structure and function of the oxygen-transport haem protein from the Antarctic skate Bathyraja eatonii and from the Arctic skate Raja hyperborea (both of the subclass Elasmobranchii, order Rajiformes, family Rajidae) is reported in the present paper. These species have a single major haemoglobin (Hb 1; over 80 % of the total). The Bohr-proton and the organophosphate-binding sites are absent. Thus the haemoglobins of northern and southern polar skates appear functionally similar, whereas differences were observed with several temperate elasmobranchs. Such evidence suggests that, in temperate and polar habitats, physiological adaptations have evolved along distinct pathways, whereas, in this case, the effect of the differences characterizing the two polar environments is negligible.</t>
  </si>
  <si>
    <t>Univ Cattolica Sacro Cuore, Inst Biochem &amp; Clin Biochem, I-00168 Rome, Italy; Univ Cattolica Sacro Cuore, CNR, Inst Chem Mol Recognit, I-00168 Rome, Italy; CNR, Inst Prot Biochem, I-80125 Naples, Italy</t>
  </si>
  <si>
    <t>Catholic University of the Sacred Heart; IRCCS Policlinico Gemelli; Consiglio Nazionale delle Ricerche (CNR); Istituto di Chimica del Riconoscimento Molecolare (ICRM-CNR); Catholic University of the Sacred Heart; IRCCS Policlinico Gemelli; Consiglio Nazionale delle Ricerche (CNR); Istituto di Biochimica delle Proteine (IBP-CNR)</t>
  </si>
  <si>
    <t>Univ Cattolica Sacro Cuore, Inst Biochem &amp; Clin Biochem, I-00168 Rome, Italy.</t>
  </si>
  <si>
    <t>bgiardina@rm.unicatt.it</t>
  </si>
  <si>
    <t>Giordano, Daniela/AFK-7772-2022; Cocca, Ennio/AAY-3817-2020; De Rosa, Maria Cristina/K-3814-2014</t>
  </si>
  <si>
    <t>Giordano, Daniela/0000-0002-8891-6245; Cocca, Ennio/0000-0003-2432-9663; De Rosa, Maria Cristina/0000-0002-9611-2490; VERDE, Cinzia/0000-0001-6185-282X</t>
  </si>
  <si>
    <t>PORTLAND PRESS LTD</t>
  </si>
  <si>
    <t>CHARLES DARWIN HOUSE, 12 ROGER STREET, LONDON WC1N 2JU, ENGLAND</t>
  </si>
  <si>
    <t>0264-6021</t>
  </si>
  <si>
    <t>1470-8728</t>
  </si>
  <si>
    <t>BIOCHEM J</t>
  </si>
  <si>
    <t>Biochem. J.</t>
  </si>
  <si>
    <t>JUL 15</t>
  </si>
  <si>
    <t>10.1042/BJ20050305</t>
  </si>
  <si>
    <t>949IQ</t>
  </si>
  <si>
    <t>WOS:000230779000006</t>
  </si>
  <si>
    <t>Pfuhl, HA; McCave, IN</t>
  </si>
  <si>
    <t>Evidence for late Oligocene establishment of the Antarctic Circumpolar Current</t>
  </si>
  <si>
    <t>Antarctic Circumpolar Current; Drake Passage; Tasman Gateway; Southern Ocean; East Antarctic Icesheet; ocean circulation; sortable silt; grain size; ODP Leg 189; ODP Site 1170; ODP Site 1171; ODp Site 1172</t>
  </si>
  <si>
    <t>DEEP PACIFIC INFLOW; SOUTHERN-OCEAN; MIDDLE EOCENE; SOUTHWEST ATLANTIC; KERGUELEN PLATEAU; FALKLAND PLATEAU; STABLE-ISOTOPE; SORTABLE SILT; MCMURDO SOUND; NEW-ZEALAND</t>
  </si>
  <si>
    <t>Removal of the last impediment to circum-Antarctic flow - opening of the Drake Passage between Antarctica and South America - is essential to establishment of the ACC, and has been placed in both the earliest Oligocene and earliest Miocene on the basis of paleomagnetic reconstructions. The Tasman Gateway between Antarctica and Tasmania notably deepened following similar to 33.5 Ma. Completion of the ACC circuit has been seen as the key to major growth of the East Antarctic Ice Sheet by thermal isolation of the continent. An alternative argument attributes ice sheet growth to changes in atmospheric pCO(2). We present evidence on current strength and water-mass properties suggesting a clear increase in flow speed and homogeneity of Southern Ocean water masses in the latest Oligocene after about 23.95 Ma, marking establishment of the ACC, attributable to deep opening of Drake Passage. The Mi-l glaciation may be a consequence. Establishment of a permanent, low altitude ice sheet does not appear to take place prior to mid-Miocene cooling. (c) 2005 Elsevier B.V. All rights reserved.</t>
  </si>
  <si>
    <t>Univ Cambridge, Dept Earth Sci, Godwin Lab, Cambridge CB2 3EQ, England</t>
  </si>
  <si>
    <t>Univ Cambridge, Dept Earth Sci, Godwin Lab, Downing St, Cambridge CB2 3EQ, England.</t>
  </si>
  <si>
    <t>hapfuhl@yahoo.com; mccave@esc.cam.ac.uk</t>
  </si>
  <si>
    <t>Pfuhl, Helen A/D-3255-2009; McCave, I. Nick/O-3992-2018; McCave, Nick N/G-7323-2016</t>
  </si>
  <si>
    <t>McCave, I. Nick/0000-0002-4702-5489; McCave, Nick N/0000-0002-4702-5489</t>
  </si>
  <si>
    <t>10.1016/j.epsl.2005.04.025</t>
  </si>
  <si>
    <t>946YO</t>
  </si>
  <si>
    <t>WOS:000230609400018</t>
  </si>
  <si>
    <t>Wang, XJ; Key, JR</t>
  </si>
  <si>
    <t>Arctic surface, cloud, and radiation properties based on the AVHRR Polar Pathfinder dataset. Part I: Spatial and temporal characteristics</t>
  </si>
  <si>
    <t>OCEAN-ATMOSPHERE MODEL; SEA-ICE; OPTICAL-PROPERTIES; SATELLITE DATA; ANNUAL CYCLE; DATA SETS; ALBEDO; PARAMETERIZATION; CLIMATOLOGY; VARIABILITY</t>
  </si>
  <si>
    <t>With broad spectral coverage and high spatial and temporal resolutions, satellite sensors can provide the data needed for the analysis of spatial and temporal variations of climate parameters in data-sparse regions such as the Arctic and Antarctic. The newly available Advanced Very High Resolution Radiometer (AVHRR) Polar Pathfinder (APP) dataset was used to retrieve cloud fraction, cloud optical depth, cloud particle phase and size, cloud-top pressure and temperature, surface skin temperature, surface broadband albedo, radiative fluxes, and cloud forcing over the Arctic Ocean and surrounding landmasses for the 18-yr period from 1982 to 1999. In the Arctic, Greenland is the coldest region with the highest surface albedo, while northeastern Russia has the highest surface temperature in summer. Arctic annual mean cloud coverage is about 70%, with the largest cloudiness occurring in September and the lowest cloudiness occurring in April. On annual average, Arctic cloud visible optical depth is about 5-6. Arctic precipitable water is near 0.2 cm in winter and 1.5 cm in summer. The largest downwelling shortwave radiative flux at the surface occurs in June; the largest upwelling shortwave radiative flux occurs in May. The largest downwelling and upwelling longwave radiative fluxes as well as the net all-wave radiative flux occur in July, with the largest loss of longwave radiation from the surface in April.</t>
  </si>
  <si>
    <t>Univ Wisconsin, Cooperat Inst Meteorol Satellite Studies, Madison, WI 53706 USA; NOAA, NESDIS, Off Res &amp; Applicat, Madison, WI USA</t>
  </si>
  <si>
    <t>University of Wisconsin System; University of Wisconsin Madison; National Oceanic Atmospheric Admin (NOAA) - USA</t>
  </si>
  <si>
    <t>Univ Wisconsin, Cooperat Inst Meteorol Satellite Studies, 1225 W Dayton St, Madison, WI 53706 USA.</t>
  </si>
  <si>
    <t>xuanjiw@ssec.wisc.edu</t>
  </si>
  <si>
    <t>Key, Jeffrey R./AAB-7248-2020</t>
  </si>
  <si>
    <t>10.1175/JCLI3438.1</t>
  </si>
  <si>
    <t>955TV</t>
  </si>
  <si>
    <t>WOS:000231251400003</t>
  </si>
  <si>
    <t>Langenfelds, RL; van der Schoot, MV; Francey, RJ; Steele, LP; Schmidt, M; Mukai, H</t>
  </si>
  <si>
    <t>Modification of air standard composition by diffusive and surface processes</t>
  </si>
  <si>
    <t>ATMOSPHERIC AR/N-2 RATIO; GASES; CO2</t>
  </si>
  <si>
    <t>We present experimental evidence of modification of O-2/N-2, Ar/N-2, N-29(2)/N-28(2), O-34(2)/O-32(2) ratios and CO2 mole fraction in dry air standards resulting from gas handling. Correlated variations among high precision measurements of multiple molecular pair ratios show diffusive fractionation to be the main modifying process. This mechanism can account for much of the previously unexplained CO2 instability commonly observed in air standards used by the atmospheric CO2 measurement community. Identification of the effects of diffusive fractionation helps to isolate effects of other processes such as surface adsorption, which is also implicated as a cause of CO2 modification in some applications. These findings have direct implications for the preparation and maintenance of O-2/N-2/Ar and CO2 calibration standards and are relevant to other atmospheric measurement activities that involve gas handling.</t>
  </si>
  <si>
    <t>CSIRO Atmospher Res, Aspendale, Vic 3195, Australia; Natl Environm Studies, Tsukuba, Ibaraki 3050053, Japan; CE Saclay, Lab Sci Climat &amp; Environm, F-91191 Gif Sur Yvette, France; Univ Tasmania, Inst Antarctic &amp; So Ocean Studies, Hobart, Tas 7001, Australia</t>
  </si>
  <si>
    <t>Commonwealth Scientific &amp; Industrial Research Organisation (CSIRO); National Institute for Environmental Studies - Japan; CEA; Centre National de la Recherche Scientifique (CNRS); Universite Paris Saclay; University of Tasmania</t>
  </si>
  <si>
    <t>CSIRO Atmospher Res, Private Bag 1, Aspendale, Vic 3195, Australia.</t>
  </si>
  <si>
    <t>ray.langenfelds@csiro.au</t>
  </si>
  <si>
    <t>Francey, Roger J/A-2345-2012; Langenfelds, Raymond L/B-5381-2012; Schmidt, Martina/Q-6627-2017; Steele, Paul/B-3185-2009; van der Schoot, Marcel/D-4155-2012</t>
  </si>
  <si>
    <t>Schmidt, Martina/0000-0002-4648-769X;</t>
  </si>
  <si>
    <t>D13</t>
  </si>
  <si>
    <t>D13307</t>
  </si>
  <si>
    <t>10.1029/2004JD005482</t>
  </si>
  <si>
    <t>950CW</t>
  </si>
  <si>
    <t>WOS:000230836200003</t>
  </si>
  <si>
    <t>Maule, CF; Purucker, ME; Olsen, N; Mosegaard, K</t>
  </si>
  <si>
    <t>Heat flux anomalies in Antarctica revealed by satellite magnetic data</t>
  </si>
  <si>
    <t>ICE-SHEET; BASAL MELT; BOREHOLE</t>
  </si>
  <si>
    <t>The geothermal heat flux is an important factor in the dynamics of ice sheets; it affects the occurrence of subglacial takes, the onset of ice streams, and mass tosses from the ice sheet base. Because direct heat flux measurements in ice-covered regions are difficult to obtain, we developed a method that uses satellite magnetic data to estimate the heat flux underneath the Antarctic ice sheet We found that the heat flux underneath the ice sheet varies from 40 to 185 megawatts per square meter and that areas of high heat flux coincide with known current volcanism and some areas known to have ice streams.</t>
  </si>
  <si>
    <t>Ctr Planetary Sci, DK-2100 Copenhagen, Denmark; NASA, Goddard Space Flight Ctr, Raytheon Co, Greenbelt, MD 20771 USA</t>
  </si>
  <si>
    <t>National Aeronautics &amp; Space Administration (NASA); NASA Goddard Space Flight Center; Raytheon Technologies</t>
  </si>
  <si>
    <t>Ctr Planetary Sci, Juliane Maries Vej 30, DK-2100 Copenhagen, Denmark.</t>
  </si>
  <si>
    <t>foxmaule@gfy.ku.dk</t>
  </si>
  <si>
    <t>Olsen, Nils/AAZ-1044-2021</t>
  </si>
  <si>
    <t>Olsen, Nils/0000-0003-1132-6113; Mosegaard, Klaus/0000-0001-5292-5249</t>
  </si>
  <si>
    <t>Natural Environment Research Council [NER/O/S/2003/00674] Funding Source: researchfish</t>
  </si>
  <si>
    <t>10.1126/science.1106888</t>
  </si>
  <si>
    <t>946LY</t>
  </si>
  <si>
    <t>WOS:000230574900046</t>
  </si>
  <si>
    <t>Kamenkovich, IV</t>
  </si>
  <si>
    <t>Role of daily surface forcing in setting the temperature and mixed layer structure of the Southern Ocean</t>
  </si>
  <si>
    <t>ANTARCTIC CIRCUMPOLAR CURRENT; COARSE-RESOLUTION; TROPICAL PACIFIC; VARIABILITY; MODEL; WIND; PARAMETERIZATION; CIRCULATION; TRANSPORT; HURRICANE</t>
  </si>
  <si>
    <t>The role of high-frequency surface forcing in setting the temperature and mixed layer structure in the Southern Ocean is investigated in an ocean general circulation model. The analysis suggests that daily fluctuations in the momentum flux, and the enhanced vertical mixing they produce, have the biggest effect on the time-mean temperature and mixed layer structure. In particular, summertime (December-February) surface temperatures are cooler, subsurface temperatures are warmer, and the mixed layer is thicker in the experiment with daily forcing than in the one without. The wintertime mixed layer in the Pacific sector is, however, thinner in the presence of daily forcing owing to the enhanced density contrast between the mixed layer and the ocean below. Daily fluctuations in the surface momentum flux are the leading cause of the high-frequency temperature variability at the high latitudes of the Southern Ocean, whereas the daily variability in the surface heat flux is more important at the midlatitudes. Since the air and sea-surface temperatures do not co-vary on short timescales in this study, daily fluctuations in the air temperature/humidity cause substantial variability in the air-sea turbulent exchanges of heat. The high-frequency part of the wave number-frequency spectrum of the daily sea surface temperatures is interpreted using a conceptual model of the response of the Southern Ocean to passing atmospheric storms. For high-to-medium frequencies, the preferred wavelengths in the conceptual model are determined by fast atmospheric advection; preferred low frequencies, in contrast, are determined by slow oceanic advection.</t>
  </si>
  <si>
    <t>Univ Washington, Dept Atmospher Sci, Seattle, WA 98195 USA</t>
  </si>
  <si>
    <t>University of Washington; University of Washington Seattle</t>
  </si>
  <si>
    <t>Univ Washington, Dept Atmospher Sci, Box 354235, Seattle, WA 98195 USA.</t>
  </si>
  <si>
    <t>kamen@atmos.washington.edu</t>
  </si>
  <si>
    <t>Kamenkovich, Igor/AAG-3451-2019</t>
  </si>
  <si>
    <t>Kamenkovich, Igor/0000-0001-6228-5599</t>
  </si>
  <si>
    <t>JUL 13</t>
  </si>
  <si>
    <t>C7</t>
  </si>
  <si>
    <t>C07006</t>
  </si>
  <si>
    <t>10.1029/2004JC002610</t>
  </si>
  <si>
    <t>950CY</t>
  </si>
  <si>
    <t>WOS:000230836400001</t>
  </si>
  <si>
    <t>Meissner, KJ; Galbraith, ED; Völker, C</t>
  </si>
  <si>
    <t>Denitrification under glacial and interglacial conditions:: A physical approach -: art. no. PA3001</t>
  </si>
  <si>
    <t>NITROGEN-FIXATION; MARINE NITROGEN; ORGANIC-MATTER; ARABIAN SEA; PACIFIC; OCEAN; CLIMATE; VARIABILITY; SEAWATER; ISOTOPE</t>
  </si>
  <si>
    <t>Recent analysis of sedimentary delta N-15 records over the last 200,000 years has shown an expansion of water column denitrification zones during warmer periods and a shrinkage of these oxygen-poor regions during glacial periods. Two different mechanisms could be responsible for driving the changes in the denitrification records: variations in local productivity leading to a change in remineralization rates and/or changes in the ocean circulation and ocean temperature resulting in variations of the physical supply of dissolved oxygen. Here we focus on the supply'' mechanism by using a fully coupled atmosphere-ocean-sea ice-land surface scheme model (the University of Victoria Earth System Climate Model) to examine oxygen supply under varying physical conditions while maintaining an invariant biological oxygen utilization scheme. We show that circulation changes can be the cause for the observed changes in dissolved oxygen in the glacial ocean. Lower temperatures and enhanced formation of Antarctic Intermediate Water and North Pacific Intermediate Water during glacial periods increase the physical supply of oxygen and therefore decrease water column denitrification. In our Last Glacial Maximum simulations the change in water characteristics in the eastern tropical Pacific is important enough to reduce denitrification by 46% to 65% compared to present-day conditions, depending on the wind fields used as boundary conditions. The consequences of our findings could be substantial for the near future. With a warming climate, denitrification zones could expand, leading to changes in the biological pump and the flux of N2O into the atmosphere.</t>
  </si>
  <si>
    <t>Univ Victoria, Sch Earth &amp; Ocean Sci, Victoria, BC V8W 3P6, Canada; Univ British Columbia, Dept Earth &amp; Ocean Sci, Vancouver, BC V6T 1Z4, Canada; Alfred Wegener Inst Polar &amp; Marine Res, D-27568 Bremerhaven, Germany</t>
  </si>
  <si>
    <t>University of Victoria; University of British Columbia; Helmholtz Association; Alfred Wegener Institute, Helmholtz Centre for Polar &amp; Marine Research</t>
  </si>
  <si>
    <t>Univ Victoria, Sch Earth &amp; Ocean Sci, POB 3055,Stn CSC, Victoria, BC V8W 3P6, Canada.</t>
  </si>
  <si>
    <t>katrin@ocean.seos.uvic.ca</t>
  </si>
  <si>
    <t>Galbraith, Eric D./F-9469-2014; Voelker, Christoph/I-7891-2012</t>
  </si>
  <si>
    <t>Galbraith, Eric D./0000-0003-4476-4232; Voelker, Christoph/0000-0003-3032-114X; Meissner, Katrin/0000-0002-0716-7415</t>
  </si>
  <si>
    <t>PA3001</t>
  </si>
  <si>
    <t>10.1029/2004PA001083</t>
  </si>
  <si>
    <t>950EA</t>
  </si>
  <si>
    <t>WOS:000230839200001</t>
  </si>
  <si>
    <t>Iizuka, T; Hirata, T</t>
  </si>
  <si>
    <t>Improvements of precision and accuracy in in situ Hf isotope microanalysis of zircon using the laser ablation-MC-ICPMS technique</t>
  </si>
  <si>
    <t>CHEMICAL GEOLOGY</t>
  </si>
  <si>
    <t>zircon; Hf isotope; LA-MC-ICPMS; isobaric interference; nitrogen mixing; zircon standard 91500</t>
  </si>
  <si>
    <t>PLASMA-MASS SPECTROMETRY; ARCHEAN CRUSTAL EVOLUTION; U-PB; LU-HF; RATIO ANALYSIS; CONTINENTAL-CRUST; HAFNIUM ISOTOPES; TRACE-ELEMENT; EXCIMER-LASER; MIXED-GAS</t>
  </si>
  <si>
    <t>We have developed a new analytical technique for precise and accurate in situ Hf isotope ratio measurements for zircons by means of laser ablation-multiple collector-inductively coupled plasma mass spectrometry (LA-MC-ICPMS). Newly designed sample cell and N-2 mixing technique provided higher elemental sensitivity with smoother signal intensity profiles. In order to improve the accuracy of the Hf isotope ratio analysis, previously reported correction methods for isobaric interferences on Hf-176 by Yb-176 and Lu-176 were rigorously evaluated, and we found that the use of independent mass bias factors for Hf and Yb in the isobaric interference correction resulted in more reliable Hf isotopic data. In order to test the reliability of the Hf isotopic data from similar to 35 mu m diameter ablation pits that are smaller than the typical size of most zircon grains, Lu-Hf isotopes for three zircons (Harvard 91500, Antarctic zircon PMA7 and Acasta zircon AY199) were measured. The present Hf-176/Hf-177 isotope ratio of 0.282321 +/- 46 (2 S.D.) and initial Hf-176/Hf-177 isotope ratio of 0.282315 +/- 47 (2 S.D.) were obtained for zircon standard 91500. The resulting present Hf-176/Hf-177 isotope ratio shows an excellent agreement with the previously reported data. Our in situ isotopic data revealed that the Lu/Hf ratio varied significantly within the 91500 grain (Lu-176/Hf-177 = 0.000130-0.000345), suggesting the existence of slight isotopic heterogeneity in present Hf-176/Hf-177 (approximately 15 ppm). For Antarctic zircon PMA7, despite the smaller size of the single grain (50-100 mu m wide, 80-300 mu m long) and the presence of various mineral inclusions, resulting analytical precision for the initial Hf-176/Hf-177 ratio was 128 ppm [0.281208 +/- 36 (2 S.D.)]. For Acasta zircon AY199, despite the high Yb/Hf (similar to 0.05) and Lu/Hf (similar to 0.01) isotope ratios with the early Archean crystallization age (3.74 Ga), resulting analytical precision for the initial Hf-176/Hf-177 ratio was 187 ppm [0.280160 +/- 52 (2 S.D.)]. These results demonstrate clearly that in situ Hf isotope ratio microanalysis developed here has the potential to become a significant tool for zircon Lu-Hf isotopic study. (c) 2005 Elsevier B.V. All rights reserved.</t>
  </si>
  <si>
    <t>Tokyo Inst Technol, Dept Earth &amp; Planetary Sci, Meguro Ku, Tokyo 1528551, Japan</t>
  </si>
  <si>
    <t>Tokyo Institute of Technology</t>
  </si>
  <si>
    <t>Tokyo Inst Technol, Dept Earth &amp; Planetary Sci, Meguro Ku, Ookayama 2-12-1, Tokyo 1528551, Japan.</t>
  </si>
  <si>
    <t>tiiduka@geo.titech.ac.jp</t>
  </si>
  <si>
    <t>IIZUKA, Tsuyoshi/E-5332-2010</t>
  </si>
  <si>
    <t>IIZUKA, Tsuyoshi/0000-0001-7896-5812</t>
  </si>
  <si>
    <t>0009-2541</t>
  </si>
  <si>
    <t>1872-6836</t>
  </si>
  <si>
    <t>CHEM GEOL</t>
  </si>
  <si>
    <t>Chem. Geol.</t>
  </si>
  <si>
    <t>JUL 12</t>
  </si>
  <si>
    <t>10.1016/j.chemgeo.2005.03.010</t>
  </si>
  <si>
    <t>941NY</t>
  </si>
  <si>
    <t>WOS:000230222700007</t>
  </si>
  <si>
    <t>Huck, PE; McDonald, AJ; Bodeker, GE; Struthers, H</t>
  </si>
  <si>
    <t>Interannual variability in Antarctic ozone depletion controlled by planetary waves and polar temperature</t>
  </si>
  <si>
    <t>MCMURDO STATION; STRATOSPHERE; CLIMATE; VORTEX; WINTER; DYNAMICS; HOLE</t>
  </si>
  <si>
    <t>The dependence of Antarctic ozone depletion on midlatitude planetary wave activity and South Pole temperatures was examined from 1979-2003 using NCEP/NCAR reanalyses and column ozone data. The annual severity of Antarctic ozone depletion was quantified using the seasonal mean of daily ozone mass deficit (OMD). The dependence of annual mean OMD on effective equivalent stratospheric chlorine (EESC) was removed to produce an anomaly time series (OMD'). Similar anomaly time series for 100 hPa South Pole temperatures (T') and 20 hPa, 60 degrees S midlatitude planetary wave activity (PWA') were calculated. Regression of OMD' against T' and PWA' shows that most of the interannual variability in Antarctic ozone depletion can be explained by variability in midlatitude planetary wave activity and South Pole temperatures. To estimate how future changes in South Pole temperatures, midlatitude wave activity and EESC will affect Antarctic ozone depletion, the regression model was applied to T' and PWA' values from a chemistry-climate model run (1975-2019).</t>
  </si>
  <si>
    <t>Univ Canterbury, Dept Phys &amp; Astron, Christchurch 8020, New Zealand; Natl Inst Water &amp; Atmospher Res, Omakau 9182, Central Otago, New Zealand</t>
  </si>
  <si>
    <t>University of Canterbury; National Institute of Water &amp; Atmospheric Research (NIWA) - New Zealand</t>
  </si>
  <si>
    <t>Univ Canterbury, Dept Phys &amp; Astron, Private Bag 4800, Christchurch 8020, New Zealand.</t>
  </si>
  <si>
    <t>peh26@student.canterbury.ac.nz; adrian.mcdonald@canterbury.ac.nz; g.bodeker@niwa.co.nz; h.struthers@niwa.co.nz</t>
  </si>
  <si>
    <t>Bodeker, Gregory/0000-0003-1094-5852; McDonald, Adrian/0000-0002-1456-6254</t>
  </si>
  <si>
    <t>L13819</t>
  </si>
  <si>
    <t>10.1029/2005GL022943</t>
  </si>
  <si>
    <t>950BR</t>
  </si>
  <si>
    <t>WOS:000230833100006</t>
  </si>
  <si>
    <t>Usui, Y; Hiramatsu, Y; Furumoto, M; Kanao, M</t>
  </si>
  <si>
    <t>Thick and anisotropic D layer beneath Antarctic Ocean -: art. no. L13311</t>
  </si>
  <si>
    <t>COMPLETE SYNTHETIC SEISMOGRAMS; SHEAR VELOCITY STRUCTURE; SEISMIC ANISOTROPY; LOWERMOST MANTLE; ALASKA; CONSTRAINTS; PACIFIC; BASE</t>
  </si>
  <si>
    <t>Waveform modeling and travel times analyses of S, ScS and SKS phases recorded at the broad-band permanent station SYO in the Antarctic are used to determine the shear wave velocity structure and transverse isotropy in the D '' layer beneath the Antarctic Ocean. The SH wave structure has a discontinuity with the velocity increase of 2.0% at 2550 km. The SV structure is similar to PREM model. The magnitude of the anisotropy is highest at the top of D '' layer and lowest at the core-mantle boundary. The D '' layer beneath the Antarctic Ocean is significantly thicker than those beneath Alaska and the Caribbean Sea. We attribute this anisotropic D '' layer to paleo-slab materials. The subduction in and around the Antarctic Ocean has started similar to 180 Ma and is the one of the oldest in the world. It has provided a large amount of the slab materials in the lowermost mantle.</t>
  </si>
  <si>
    <t>Kanazawa Univ, Grad Sch Nat Sci &amp; Technol, Kanazawa, Ishikawa 9201192, Japan; Natl Inst Polar Res, Itabashi Ku, Tokyo 1738515, Japan</t>
  </si>
  <si>
    <t>Kanazawa University; Research Organization of Information &amp; Systems (ROIS); National Institute of Polar Research (NIPR) - Japan</t>
  </si>
  <si>
    <t>Kanazawa Univ, Grad Sch Nat Sci &amp; Technol, Kanazawa, Ishikawa 9201192, Japan.</t>
  </si>
  <si>
    <t>yusuke@hakusan.s.kanazawa-u.ac.jp</t>
  </si>
  <si>
    <t>Hiramatsu, Yoshihiro/AAJ-1987-2020</t>
  </si>
  <si>
    <t>Hiramatsu, Yoshihiro/0000-0001-9874-5059</t>
  </si>
  <si>
    <t>L13311</t>
  </si>
  <si>
    <t>10.1029/2005GL022622</t>
  </si>
  <si>
    <t>WOS:000230833100003</t>
  </si>
  <si>
    <t>Di Carmine, C; Campanelli, M; Nakajima, T; Tomasi, C; Vitale, V</t>
  </si>
  <si>
    <t>Retrievals of Antarctic aerosol characteristics using a Sun-sky radiometer during the 2001-2002 austral summer campaign</t>
  </si>
  <si>
    <t>ATMOSPHERIC TURBIDITY; SIZE DISTRIBUTIONS; OPTICAL-PROPERTIES; ICE-SHEET; SOLAR; REFLECTANCE; CALIBRATION; CHEMISTRY; RADIATION; INVERSION</t>
  </si>
  <si>
    <t>In order to characterize the Antarctic aerosol and to analyze the effect of katabatic winds on the properties of suspended particles, measurements of solar direct and diffuse irradiance were carried out at the Italian Terra Nova Bay station in Antarctica, during the 2001 - 2002 austral summer campaign. Measurements were performed by the ground-based PREDE sky radiometer and processed by using the Skyrad inversion code. Aerosol optical thickness at 500 nm was found to vary between 0.01 and 0.02. The volume size distribution curves showed bimodal features with the two modes located within 0.1-0.3 mm and 5 - 7 mm radius intervals, respectively. The real part of the refractive index characterizing the Antarctic aerosol was found to have a mean value of 1.40. During the katabatic event the analysis indicated that the advection of larger and drier fresh particles, together with the removal of marine suspended particles, caused the decrease in aerosol optical thickness.</t>
  </si>
  <si>
    <t>CNR, Ist Sci Atmosfera &amp; Clima, I-00133 Rome, Italy; Univ Tokyo, Ctr Climate Syst Res, Meguro Ku, Tokyo 1548904, Japan; CNR, Ist Sci Atmosfera &amp; Clima, I-40129 Bologna, Italy</t>
  </si>
  <si>
    <t>Consiglio Nazionale delle Ricerche (CNR); Istituto di Scienze dell'Atmosfera e del Clima (ISAC-CNR); University of Tokyo; Consiglio Nazionale delle Ricerche (CNR); Istituto di Scienze dell'Atmosfera e del Clima (ISAC-CNR)</t>
  </si>
  <si>
    <t>Di Carmine, C (corresponding author), CNR, Ist Sci Atmosfera &amp; Clima, Via Fosso Cavaliere 100, I-00133 Rome, Italy.</t>
  </si>
  <si>
    <t>m.campanelli@isac.cnr.it</t>
  </si>
  <si>
    <t>vitale, vito/AAW-8441-2021; Nakajima, Teruyuki/H-2370-2013</t>
  </si>
  <si>
    <t>vitale, vito/0000-0003-0978-8976</t>
  </si>
  <si>
    <t>D13202</t>
  </si>
  <si>
    <t>10.1029/2004JD005280</t>
  </si>
  <si>
    <t>950CQ</t>
  </si>
  <si>
    <t>WOS:000230835600004</t>
  </si>
  <si>
    <t>Michalski, G; Bockheim, JG; Kendall, C; Thiemens, M</t>
  </si>
  <si>
    <t>Isotopic composition of Antarctic Dry Valley nitrate:: Implications for NOy sources and cycling in Antarctica -: art. no. L13817</t>
  </si>
  <si>
    <t>ATMOSPHERIC NITRATE; SOIL-NITROGEN; DESERT SOILS; CHEMISTRY; ORIGIN; SNOW; FRACTIONATION; TEMPERATURE; DEPENDENCE; DEPOSITION</t>
  </si>
  <si>
    <t>Nitrates minerals from the Dry Valleys of Antarctica have been analyzed for their oxygen and nitrogen isotopic compositions. The N-15 was depleted with delta N-15 values ranging from - 9.5 to - 26.2 parts per thousand, whereas the O-17 and O-18 isotopes were highly enriched (with excess O-17) with delta O-18 values spanning 62 - 76% and Delta O-17 values from 28.9 to 32.7%. These are the largest O-17 enrichments observed in any known mineral. The oxygen isotopes indicate that nitrate is from a combination of tropospheric transport of photochemically produced HNO3 and HNO3 formed in the stratosphere.</t>
  </si>
  <si>
    <t>Purdue Univ, Dept Earth &amp; Atmospher Sci, W Lafayette, IN 47907 USA; Univ Calif San Diego, Dept Chem &amp; Biochem, La Jolla, CA 92093 USA; Univ Wisconsin, Dept Soil Sci, Madison, WI 53706 USA; US Geol Survey, Menlo Pk, CA 94025 USA</t>
  </si>
  <si>
    <t>Purdue University System; Purdue University; University of California System; University of California San Diego; University of Wisconsin System; University of Wisconsin Madison; United States Department of the Interior; United States Geological Survey</t>
  </si>
  <si>
    <t>Purdue Univ, Dept Earth &amp; Atmospher Sci, W Lafayette, IN 47907 USA.</t>
  </si>
  <si>
    <t>gmichalski@ucsd.edu</t>
  </si>
  <si>
    <t>Sevanthi (Dilipan), Ritesh/O-5502-2018</t>
  </si>
  <si>
    <t>Sevanthi (Dilipan), Ritesh/0000-0002-7651-3553</t>
  </si>
  <si>
    <t>JUL 9</t>
  </si>
  <si>
    <t>L13817</t>
  </si>
  <si>
    <t>10.1029/2004GL022121</t>
  </si>
  <si>
    <t>947JR</t>
  </si>
  <si>
    <t>WOS:000230640100001</t>
  </si>
  <si>
    <t>Blunier, T; Floch, GL; Jacobi, HW; Quansah, E</t>
  </si>
  <si>
    <t>Isotopic view on nitrate loss in Antarctic surface snow</t>
  </si>
  <si>
    <t>ICE CORES; N-15/N-14 RATIOS; GREENLAND</t>
  </si>
  <si>
    <t>Massive post-depositional processes alter the nitrate concentration in polar firn where the annual snow accumulation is low. This hinders a direct atmospheric interpretation of the ice core nitrate record. Fractionation of nitrate isotopes during post-depositional nitrate loss may allow estimating the amount of nitrate loss in the past. We measured delta(15)N of nitrate in two Antarctic surface cores from the Dome C area. In concert with the known concentration decrease with depth we observe an increase in the isotopic signature. Assuming a Rayleigh type process we find an isotope effect of epsilon = - 54 parts per thousand. We measured the fractionation factor for photolysis in the laboratory and obtained epsilon = - 11.7 +/- 1.4 parts per thousand. As the observed fractionation factor in the firn is much lower this rules out that photolysis in the surface snow is the main process leading to the dramatic nitrate loss in the top centimeters of the firn.</t>
  </si>
  <si>
    <t>Univ Bern, Inst Phys, CH-3012 Bern, Switzerland; Alfred Wegener Inst Polar &amp; Marine Res, D-27570 Bremerhaven, Germany</t>
  </si>
  <si>
    <t>University of Bern; Helmholtz Association; Alfred Wegener Institute, Helmholtz Centre for Polar &amp; Marine Research</t>
  </si>
  <si>
    <t>Blunier, T (corresponding author), Univ Bern, Inst Phys, Sidlerstr 5, CH-3012 Bern, Switzerland.</t>
  </si>
  <si>
    <t>blunier@climate.unibe.ch</t>
  </si>
  <si>
    <t>Blunier, Thomas/M-4609-2014</t>
  </si>
  <si>
    <t>Blunier, Thomas/0000-0002-6065-7747; Jacobi, Hans-Werner/0000-0003-2230-3136; Quansah, Emmanuel/0000-0002-3382-1775</t>
  </si>
  <si>
    <t>JUL 8</t>
  </si>
  <si>
    <t>L13501</t>
  </si>
  <si>
    <t>10.1029/2005GL023011</t>
  </si>
  <si>
    <t>947JN</t>
  </si>
  <si>
    <t>WOS:000230639600005</t>
  </si>
  <si>
    <t>Ito, T; Parekh, P; Dutkiewicz, S; Follows, MJ</t>
  </si>
  <si>
    <t>The Antarctic Circumpolar Productivity Belt</t>
  </si>
  <si>
    <t>SOUTHERN-OCEAN; CARBON EXPORT; PHYTOPLANKTON; GROWTH; FLUXES; MODEL; SI</t>
  </si>
  <si>
    <t>We illustrate the mechanisms controlling the spatial patterns of biological productivity in the Southern Ocean using a coupled, physical-biogeochemical-ecological model. The model captures a belt of enhanced export production, figuratively termed as the Antarctic Circumpolar Productivity Belt. As observed, there is a maximum in silica export to the south of the peak in the organic carbon export. We show that the meridional and zonal structures of the productivity belt are strongly controlled by the residual mean circulation; the net effect of the Ekman flow and the eddy-induced circulation. The belt of maximum silica export coincides with the region of residual mean upwelling which supplies silica, iron and phosphate to the surface. The peak of organic carbon export is shifted to the north and is located at the boundary between iron and phosphate limited regimes. Here the equatorward residual mean flow supplies phosphate and aeolian deposition provides iron.</t>
  </si>
  <si>
    <t>Univ Washington, Joint Inst Study Atmosphere &amp; Oceans, Seattle, WA 98195 USA; MIT, Program Atmospheres Oceans &amp; Climate, Cambridge, MA 02139 USA</t>
  </si>
  <si>
    <t>University of Washington; University of Washington Seattle; Massachusetts Institute of Technology (MIT)</t>
  </si>
  <si>
    <t>Ito, T (corresponding author), Univ Washington, Joint Inst Study Atmosphere &amp; Oceans, Box 354235, Seattle, WA 98195 USA.</t>
  </si>
  <si>
    <t>ito@atmos.washington.edu</t>
  </si>
  <si>
    <t>Follows, Michael J/G-9824-2011; Ito, Takamitsu/F-3856-2010</t>
  </si>
  <si>
    <t>Ito, Takamitsu/0000-0001-9873-099X</t>
  </si>
  <si>
    <t>L13604</t>
  </si>
  <si>
    <t>10.1029/2005GL023021</t>
  </si>
  <si>
    <t>Green Published, hybrid</t>
  </si>
  <si>
    <t>WOS:000230639600006</t>
  </si>
  <si>
    <t>Raynaud, D; Barnola, JM; Souchez, R; Lorrain, R; Petit, JR; Duval, P; Lipenkov, VY</t>
  </si>
  <si>
    <t>Palaeoclimatology - The record for marine isotopic stage 11</t>
  </si>
  <si>
    <t>CLIMATE</t>
  </si>
  <si>
    <t>CNRS, Lab Glaciol &amp; Geophys Environm, F-38402 St Martin Dheres, France; Univ Libre Bruxelles, Lab Glaciol, B-1050 Brussels, Belgium; Arctic &amp; Antarctic Res Inst, St Petersburg 199397, Russia</t>
  </si>
  <si>
    <t>Centre National de la Recherche Scientifique (CNRS); Universite Libre de Bruxelles; Arctic &amp; Antarctic Research Institute</t>
  </si>
  <si>
    <t>CNRS, Lab Glaciol &amp; Geophys Environm, F-38402 St Martin Dheres, France.</t>
  </si>
  <si>
    <t>raynaud@lgge.obs.ujf-grenoble.fr</t>
  </si>
  <si>
    <t>raynaud, dominique/ABG-4718-2020; Raynaud, Dominique/H-9626-2016; Lipenkov, Vladimir/Q-8262-2016</t>
  </si>
  <si>
    <t>Lipenkov, Vladimir/0000-0003-4221-5440</t>
  </si>
  <si>
    <t>JUL 7</t>
  </si>
  <si>
    <t>10.1038/43639b</t>
  </si>
  <si>
    <t>942QJ</t>
  </si>
  <si>
    <t>WOS:000230296600033</t>
  </si>
  <si>
    <t>Stevens, MH; Meier, RR; Chu, XZ; DeLand, MT; Plane, JMC</t>
  </si>
  <si>
    <t>Antarctic mesospheric clouds formed from space shuttle exhaust</t>
  </si>
  <si>
    <t>THERMOSPHERE; ATMOSPHERE; SATELLITE; CHEMISTRY; WINDS; MODEL</t>
  </si>
  <si>
    <t>New satellite observations reveal lower thermospheric transport of a space shuttle exhaust plume into the southern hemisphere two days after a January, 2003 launch. A day later, ground-based lidar observations in Antarctica identify iron ablated from the shuttle's main engines. Additional satellite observations of polar mesospheric clouds (PMCs) show a burst that constitutes 10 - 20% of the PMC mass between 65 - 79 degrees S during the 2002 - 2003 season, comparable to previous results for an Arctic shuttle plume. This shows that shuttle exhaust can be an important global source of both PMC formation and variability.</t>
  </si>
  <si>
    <t>USN, Res Lab, EO Hulburt Ctr Space Res, Washington, DC 20375 USA; Univ Illinois, Dept Elect &amp; Comp Engn, Urbana, IL 61801 USA; SSAI, Lanham, MD 20706 USA; George Mason Univ, Sch Computat Sci, Fairfax, VA 22030 USA; Univ E Anglia, Sch Environm Sci, Norwich NR4 7TJ, Norfolk, England</t>
  </si>
  <si>
    <t>United States Department of Defense; United States Navy; Naval Research Laboratory; University of Illinois System; University of Illinois Urbana-Champaign; George Mason University; University of East Anglia</t>
  </si>
  <si>
    <t>Stevens, MH (corresponding author), USN, Res Lab, EO Hulburt Ctr Space Res, Washington, DC 20375 USA.</t>
  </si>
  <si>
    <t>stevens@uap2.nrl.navy.mil</t>
  </si>
  <si>
    <t>Chu, Xinzhao/I-5670-2015; Plane, John/C-7444-2015; Meier, Robert/G-4749-2014</t>
  </si>
  <si>
    <t>Plane, John/0000-0003-3648-6893; Meier, Robert/0000-0001-8497-7115; Stevens, Michael/0000-0003-1082-8955</t>
  </si>
  <si>
    <t>JUL 6</t>
  </si>
  <si>
    <t>L13810</t>
  </si>
  <si>
    <t>10.1029/2005GL023054</t>
  </si>
  <si>
    <t>947JL</t>
  </si>
  <si>
    <t>WOS:000230639400005</t>
  </si>
  <si>
    <t>Clilverd, MA; Clarke, E; Ulich, T; Linthe, J; Rishbeth, H</t>
  </si>
  <si>
    <t>Reconstructing the long-term aa index -: art. no. A07205</t>
  </si>
  <si>
    <t>RADIOCARBON AGE CALIBRATION; OPEN MAGNETIC-FLUX; GEOMAGNETIC-ACTIVITY; SOLAR VARIABILITY; FIELD; SUN; 20TH-CENTURY; INCREASE; CYCLES</t>
  </si>
  <si>
    <t>[1] The robustness of the aa geomagnetic index is of critical importance to the debate about the previously reported doubling of the solar coronal magnetic field in the last 100 years, inferred from an increasing trend in this index. To test the trend in aa, we have reconstructed the aa index using two long-running European stations (Sodankyla from 1914 and Niemegk from 1890) to provide data for the northern component of the index that are independent of data from the UK observatories used in the official'' aa index. Both the fully reconstructed'' aa series, based on Sodankyla ( 67 degrees N, L = 5.2 R-E) and Niemegk ( 52 degrees N, L = 2.3 R-E) data in combination with the official aa Southern Hemisphere data, confirm the increasing trend in the index. The Niemegk-based index shows little solar cycle variation in its deviation from the official index, probably because of the midlatitude location of the station. The high-latitude station, Sodankyla, is more affected by active geomagnetic conditions during solar maximum because of the proximity of the auroral oval to the station. Nevertheless, its index also clearly confirms the increasing trend in the aa index and hence supports the idea of a long-term increase in solar coronal magnetic field strength. As an added test, we reconstructed the aa index from a single site using data from two long-running UK stations, Eskdalemuir and Lerwick, applying a technique known as interhourly variation (IHV) proposed by Svalgaard et al. ( 2004). The resulting series is designed to be primarily sensitive to solar wind conditions. Both the reconstructed aa(IHV) also showed an increasing trend with time and high consistency with the official aa index. Overall, we conclude that the robustness of the trend in the aa index supports the idea of a long-term increase in solar coronal magnetic field strength.</t>
  </si>
  <si>
    <t>British Antarctic Survey, NERC, Div Phys Sci, Cambridge CB3 0ET, England; British Geol Survey, NERC, Global Seismol &amp; Geomagnetism Grp, Edinburgh EH9 3LA, Midlothian, Scotland; Univ Oulu, Sodankyla Geophys Observ, FI-99600 Sodankyla, Finland; Geoforschungszentrum Potsdam, D-14473 Potsdam, Germany; Univ Southampton, Sch Phys &amp; Astron, Southampton SO17 1BJ, Hants, England</t>
  </si>
  <si>
    <t>UK Research &amp; Innovation (UKRI); Natural Environment Research Council (NERC); NERC British Antarctic Survey; UK Research &amp; Innovation (UKRI); Natural Environment Research Council (NERC); NERC British Geological Survey; University of Oulu; Helmholtz Association; Helmholtz-Center Potsdam GFZ German Research Center for Geosciences; University of Southampton</t>
  </si>
  <si>
    <t>m.clilverd@bas.ac.uk; ecla@bgs.ac.uk; thu@sgo.fi; linthe@gfz-potsdam.de; hr@phys.soton.ac.uk</t>
  </si>
  <si>
    <t>Ulich, Thomas/G-3727-2018</t>
  </si>
  <si>
    <t>Ulich, Thomas/0000-0001-8217-022X</t>
  </si>
  <si>
    <t>Natural Environment Research Council [bgs03002] Funding Source: researchfish; NERC [bgs03002] Funding Source: UKRI</t>
  </si>
  <si>
    <t>JUL 2</t>
  </si>
  <si>
    <t>A07205</t>
  </si>
  <si>
    <t>10.1029/2004JA010762</t>
  </si>
  <si>
    <t>945DW</t>
  </si>
  <si>
    <t>WOS:000230483100002</t>
  </si>
  <si>
    <t>Vandenrijt, JF</t>
  </si>
  <si>
    <t>Simulation and graphical representation of the orbit and the imaging parameter of Earth observation satellites</t>
  </si>
  <si>
    <t>ACTA ASTRONAUTICA</t>
  </si>
  <si>
    <t>55th International-Astronautical-Federation Congress</t>
  </si>
  <si>
    <t>Vancouver, CANADA</t>
  </si>
  <si>
    <t>Synthetic aperture radar (SAR) satellites are widely used for Earth observation applications as weather conditions and cloudiness do not affect them. However, in order to be usable, data provided by those satellites need to be processed. This processing requires determination of imaging parameters that are closely linked to the spacecraft position and velocity on its orbit. For example, the difference in velocity of the Earth's surface and the spacecraft produces Doppler shift in the received signal. This decay, called Doppler centroid, is one of the most important parameters required by spaceborne SAR signal processing. As an illustration, the Antarctic anomaly that occurred in ERS data processing induced severe azimuth ambiguities (ghosting) in the whole image. Those parameters also vary in relation to the attitude angles of the platform. In order to estimate the Doppler centroid, determination of orbital parameters and their evolution has to be made. In this paper, the method to perform orbital osculating elements calculation and imaging parameters determination for SAR satellites, starting from state vectors or two-line elements files and attitude angles, will be introduced as well as the perturbation due to the Earth flatness, called the J2 perturbation. The near-circular orbit often used by Earth observation satellites makes the perturbation equations of the J2 parameter unstable, and the introduction of new orbital parameters is required in order to be able to determine the evolution of the orbital parameters. Simulations will be performed and the resulting osculating elements will be presented and explained for short-term and long-term variations for different kinds of orbits, such as GEO, SSO, LEO and Molnya-orbit. Full analysis of the imaging parameters will be made for the SAOCOM satellite with particular attention to the Doppler centroid phenomenon: its sensitivity with relation to the attitude angles and the way to cancel it by setting the yaw steering dynamically. (c) 2005 Elsevier Ltd. All rights reserved.</t>
  </si>
  <si>
    <t>Univ Liege, Cent Spatial Liege, B-4031 Angleur, Belgium</t>
  </si>
  <si>
    <t>Vandenrijt, JF (corresponding author), Univ Liege, Cent Spatial Liege, Ave Pre Aily, B-4031 Angleur, Belgium.</t>
  </si>
  <si>
    <t>jfvandenrijt@ulg.ac.be</t>
  </si>
  <si>
    <t>0094-5765</t>
  </si>
  <si>
    <t>ACTA ASTRONAUT</t>
  </si>
  <si>
    <t>Acta Astronaut.</t>
  </si>
  <si>
    <t>JUL-OCT</t>
  </si>
  <si>
    <t>2-8</t>
  </si>
  <si>
    <t>10.1016/j.actaastro.2005.03.037</t>
  </si>
  <si>
    <t>Engineering, Aerospace</t>
  </si>
  <si>
    <t>938QM</t>
  </si>
  <si>
    <t>WOS:000230017900017</t>
  </si>
  <si>
    <t>Brauer, PR; Sanmann, JN; Petzel, DH</t>
  </si>
  <si>
    <t>Effects of warm acclimation on Na+,K+-ATPase α-subunit expression in chloride cells of antarctic fish</t>
  </si>
  <si>
    <t>ANATOMICAL RECORD PART A-DISCOVERIES IN MOLECULAR CELLULAR AND EVOLUTIONARY BIOLOGY</t>
  </si>
  <si>
    <t>chloride cell; Na+,K+-ATPase; acclimation; teleost</t>
  </si>
  <si>
    <t>KILLIFISH FUNDULUS-HETEROCLITUS; MITOCHONDRIA-RICH CELLS; NA+-K+-ATPASE; CFTR ANION CHANNEL; GAMMA-SUBUNIT; ATLANTIC SALMON; MOZAMBIQUE TILAPIA; FUNCTIONAL-ROLE; RAINBOW-TROUT; MESSENGER-RNA</t>
  </si>
  <si>
    <t>The teleosts Trematomus bernacchii thrive in southern oceanic waters with temperatures below 0 degrees C. These fish have serum osmolalities almost double those found in fish of temperate waters, thereby lowering their serum's freezing point and the energy needed for ionic homeostasis. Upon warm acclimation to 4 degrees C, T. bernacchii decrease their serum osmolality and increase the Na+K+-ATPase activity in their gills. Na+,K+-ATPase alpha 1-, alpha 2-, and alpha 3-subunit isoforms are expressed in the gills of T bernacchii and it is thought that Na+, K+-ATPase subunit composition in chloride cells changes with warm acclimation. Using immunohistochemistry, we compared the number of chloride cells expressing various alpha-isoforms of the Na+,K+-ATPase in the gills of cold- and warm-acclimated T bernacchii. We found no change in the number of alpha 2- or alpha 3-immunopositive cells in warmacclimated fish gills or in the number of cells immunopositive for the Na+,K+,2Cl- cotransporter. However, the number of pan-a-immunopositive (recognizing all three (alpha-isoforms) and alpha-immunopositive cells both increased in warm-acclimated fish. This suggests that changes in the number of al-isoform-expressing chloride cells could contribute to the increased Na+,K+-ATPase activity that occurs with warm-acclimation. (c) 2005 Wiley-Liss, Inc.</t>
  </si>
  <si>
    <t>Creighton Univ, Sch Med, Dept Biomed Sci, 2500 California Plaza, Omaha, NE 68178 USA.</t>
  </si>
  <si>
    <t>prbrauer@creighton.edu</t>
  </si>
  <si>
    <t>WILEY-LISS</t>
  </si>
  <si>
    <t>DIV JOHN WILEY &amp; SONS INC, 111 RIVER ST, HOBOKEN, NJ 07030 USA</t>
  </si>
  <si>
    <t>1552-4884</t>
  </si>
  <si>
    <t>1552-4892</t>
  </si>
  <si>
    <t>ANAT REC PART A</t>
  </si>
  <si>
    <t>Anat. Rec. Part A</t>
  </si>
  <si>
    <t>JUL</t>
  </si>
  <si>
    <t>285A</t>
  </si>
  <si>
    <t>10.1002/ar.a.20203</t>
  </si>
  <si>
    <t>942KH</t>
  </si>
  <si>
    <t>WOS:000230280800002</t>
  </si>
  <si>
    <t>Nichols, CM; Bowman, JP; Guezennec, J</t>
  </si>
  <si>
    <t>Effects of incubation temperature on growth and production of exopolysaccharides by an Antarctic sea ice bacterium grown in batch culture</t>
  </si>
  <si>
    <t>WEDDELL SEA; SOUTHERN-OCEAN; MICROBIAL COMMUNITIES; HYDROTHERMAL VENTS; STANDING STOCK; MARINE SNOW; PACK ICE; DIVERSITY; PHYTOPLANKTON; BIODIVERSITY</t>
  </si>
  <si>
    <t>The sea ice microbial community plays a key role in the productivity of the Southern Ocean. Exopolysaccharide (EPS) is a major component of the exopolymer secreted by many marine bacteria to enhance survival and is abundant in sea ice brine channels, but little is known about its function there. This study investigated the effects of temperature on EPS production in batch culture by CAM025, a marine bacterium isolated from sea ice sampled from the Southern Ocean. Previous studies have shown that CAM025 is a member of the genus Pseudoalteromonas and therefore belongs to a group found to be abundant in sea ice by culture-dependent and -independent techniques. Batch cultures were grown at -2 degrees C, 10 degrees C, and 20 degrees C, and cell number, optical density, pH, glucose concentration, and viscosity were monitored. The yield of EPS at -2 degrees C and 10 degrees C was 30 times higher than at 20 degrees C, which is the optimum growth temperature for many psychrotolerant strains. EPS may have a cryoprotective role in brine channels of sea ice, where extremes of high salinity and low temperature impose pressures on microbial growth and survival. The EPS produced at -2 degrees C and 10 degrees C had a higher uronic acid content than that produced at 20 degrees C. The availability of iron as a trace metal is of critical importance in the Southern Ocean, where it is known to limit primary production. EPS from strain CAM025 is polyanionic and may bind dissolved cations such at trace metals, and therefore the presence of bacterial EPS in the Antarctic marine environment may have important ecological implications.</t>
  </si>
  <si>
    <t>Univ Tasmania, Sch Agr Sci, Hobart, Tas 7000, Australia; Univ Tasmania, Australian Food Safety Ctr Excellence, Hobart, Tas, Australia; IFREMER, Ctr Brest, DRV VP, F-29280 Plouzane, France</t>
  </si>
  <si>
    <t>University of Tasmania; University of Tasmania; Ifremer</t>
  </si>
  <si>
    <t>Univ Tasmania, Ctr Marine Sci, GPO Box 252-54, Hobart, Tas 7000, Australia.</t>
  </si>
  <si>
    <t>C.A.Mancuso@utas.edu.au</t>
  </si>
  <si>
    <t>Bowman, John P/C-2414-2014; Bowman, John P./ABF-5108-2020; Nichols, Carol/C-2290-2008</t>
  </si>
  <si>
    <t>Bowman, John P/0000-0002-4528-9333; Bowman, John P./0000-0002-4528-9333; Nichols, Carol/0000-0002-2739-4690</t>
  </si>
  <si>
    <t>10.1128/AEM.71.7.3519-3523.2005</t>
  </si>
  <si>
    <t>944RE</t>
  </si>
  <si>
    <t>WOS:000230445700017</t>
  </si>
  <si>
    <t>Tilley, JS; Bromwich, DH</t>
  </si>
  <si>
    <t>Short- to medium-range numerical weather prediction in the Arctic and Antarctic</t>
  </si>
  <si>
    <t>BULLETIN OF THE AMERICAN METEOROLOGICAL SOCIETY</t>
  </si>
  <si>
    <t>SYSTEM; SIMULATION; MODEL</t>
  </si>
  <si>
    <t>Univ N Dakota, Reg Weather Informat Ctr, Grand Forks, ND 58202 USA; Ohio State Univ, Polar Res Ctr, Columbus, OH 43210 USA</t>
  </si>
  <si>
    <t>University of North Dakota Grand Forks; University System of Ohio; Ohio State University</t>
  </si>
  <si>
    <t>Univ N Dakota, Reg Weather Informat Ctr, POB 9007,4125 Univ Ave, Grand Forks, ND 58202 USA.</t>
  </si>
  <si>
    <t>tilley@rwic.und.edu</t>
  </si>
  <si>
    <t>0003-0007</t>
  </si>
  <si>
    <t>1520-0477</t>
  </si>
  <si>
    <t>B AM METEOROL SOC</t>
  </si>
  <si>
    <t>Bull. Amer. Meteorol. Soc.</t>
  </si>
  <si>
    <t>10.1175/BAMS-86-7-983</t>
  </si>
  <si>
    <t>946PN</t>
  </si>
  <si>
    <t>WOS:000230584600017</t>
  </si>
  <si>
    <t>King, MR</t>
  </si>
  <si>
    <t>Fractal analysis of eight glacial cycles from an Antarctic ice core</t>
  </si>
  <si>
    <t>CHAOS SOLITONS &amp; FRACTALS</t>
  </si>
  <si>
    <t>LONG-RANGE DEPENDENCE; CLIMATE; TEMPERATURE</t>
  </si>
  <si>
    <t>A rescaled range analysis was performed on recent electrical measurements of a deep ice core obtained from Dome C, Antarctica, representing a continuous 7 40 000 year record of the Earth's climate. It is shown that two measures of the electrical conductivity of the ice surface, both d.c. conductance and 100-kHz dielectric profile, exhibit fractal behavior over 3 orders of magnitude in ice depth. Positive Hurst exponents of 0.795 and 0.848 were calculated for the d.c. conductance and dielectric profile, respectively. (c) 2004 Elsevier Ltd. All rights reserved.</t>
  </si>
  <si>
    <t>Univ Rochester, Dept Chem Engn, Rochester, NY 14642 USA</t>
  </si>
  <si>
    <t>University of Rochester</t>
  </si>
  <si>
    <t>King, MR (corresponding author), Univ Rochester, Dept Chem Engn, 601 Elmwood Ave,Box 639, Rochester, NY 14642 USA.</t>
  </si>
  <si>
    <t>mike_king@urmc.rochester.edu</t>
  </si>
  <si>
    <t>King, Michael/A-1138-2007</t>
  </si>
  <si>
    <t>0960-0779</t>
  </si>
  <si>
    <t>CHAOS SOLITON FRACT</t>
  </si>
  <si>
    <t>Chaos Solitons Fractals</t>
  </si>
  <si>
    <t>10.1016/j.chaos.2004.10.007</t>
  </si>
  <si>
    <t>Mathematics, Interdisciplinary Applications; Physics, Multidisciplinary; Physics, Mathematical</t>
  </si>
  <si>
    <t>Mathematics; Physics</t>
  </si>
  <si>
    <t>910ZX</t>
  </si>
  <si>
    <t>WOS:000227971900002</t>
  </si>
  <si>
    <t>Zhou, BT; Zhao, P; Jian, ZM; He, JH</t>
  </si>
  <si>
    <t>Modeling the impact of Australian Plate drift on Southern Hemisphere climate and environment</t>
  </si>
  <si>
    <t>CHINESE SCIENCE BULLETIN</t>
  </si>
  <si>
    <t>Australian Plate; atmospheric circulation in middle-high latitudes of the Southern Hemisphere; climate simulation; Antarctic Oscillation</t>
  </si>
  <si>
    <t>LAST GLACIAL MAXIMUM; ATMOSPHERE-OCEAN MODEL; INDONESIAN THROUGHFLOW; ICE-SHEET; SEA-ICE; PACIFIC; CIRCULATION; TRANSIENT; CHINA; VARIABILITY</t>
  </si>
  <si>
    <t>Using a global atmosphere-ocean coupled model with the present-day and 14 MaB.P. oceanic topography respectively, two experiments are implemented to investigate the effect of different locations of Australian Plate on the atmospheric circulation in middle-high latitudes of the Southern Hemisphere. The results show that when Australian Plate lay south at 14 MaB.P., both anticyclone circulations in the subtropical oceans and cyclone circulation around 60 degrees-70 degrees S are strengthened. Subtropical highs and circumpolar low pressure appear stronger, which results in much stronger Antarctic Oscillation and shorter period of Antarctic Oscillation Index (AOI) at 14 MaB.P. The rainfall and the surface air temperature also change correspondingly. The precipitation decreases around 40 degrees S and increases around 60 degrees-70 degrees S, and the surface air temperature rises in high latitudes of the South Pacific and descends over the Weddell Sea and its north side. Besides, due to the changes of the temperatures and winds, Antarctic sea ice coverage also changes with its increasing in the Ross Sea and its west regions and decreasing in the Weddell Sea.</t>
  </si>
  <si>
    <t>Chinese Acad Sci, Inst Atmospher Phys, Nansen Zhu Int Res Ctr, Beijing 100029, Peoples R China; Chinese Acad Metrol Sci, Inst Climate &amp; Environm, Beijing 100081, Peoples R China; Tongji Univ, Lab Marine Geol, Shanghai 200092, Peoples R China; Nanjing Inst Mereorol, Dept Atmospher Sci, Nanjing 210044, Peoples R China; Chinese Acad Sci, Grad Sch, Beijing 100039, Peoples R China</t>
  </si>
  <si>
    <t>Chinese Academy of Sciences; Institute of Atmospheric Physics, CAS; Tongji University; Nanjing University of Information Science &amp; Technology; Chinese Academy of Sciences; University of Chinese Academy of Sciences, CAS</t>
  </si>
  <si>
    <t>Zhou, BT (corresponding author), Chinese Acad Sci, Inst Atmospher Phys, Nansen Zhu Int Res Ctr, Beijing 100029, Peoples R China.</t>
  </si>
  <si>
    <t>zhoubt@mail.iap.ac.cn</t>
  </si>
  <si>
    <t>SCIENCE PRESS</t>
  </si>
  <si>
    <t>16 DONGHUANGCHENGGEN NORTH ST, BEIJING 100717, PEOPLES R CHINA</t>
  </si>
  <si>
    <t>1001-6538</t>
  </si>
  <si>
    <t>CHINESE SCI BULL</t>
  </si>
  <si>
    <t>Chin. Sci. Bull.</t>
  </si>
  <si>
    <t>10.1360/04wd0218</t>
  </si>
  <si>
    <t>968XF</t>
  </si>
  <si>
    <t>WOS:000232195600016</t>
  </si>
  <si>
    <t>Mercier, OR; Hunter, MW; Callaghan, PT</t>
  </si>
  <si>
    <t>Brine diffusion in first-year sea ice measured by Earth's field PGSE-NMR</t>
  </si>
  <si>
    <t>COLD REGIONS SCIENCE AND TECHNOLOGY</t>
  </si>
  <si>
    <t>sea-ice; Antarctic; brine; diffusion</t>
  </si>
  <si>
    <t>NUCLEAR-MAGNETIC-RESONANCE; SELF-DIFFUSION; GRADIENT</t>
  </si>
  <si>
    <t>Pulsed gradient spin echo (PGSE) measurements on first-year Antarctic sea ice have been performed using a portable Nuclear Magnetic Resonance probe that utilises the terrestrial magnetic field. This probe is a new device that incorporates independent transverse and longitudinal field gradient coils. A depth profile of the self-diffusion coefficient of liquid in brine inclusions has been measured through the 2002 season sea ice sheet in McMurdo Sound, near Cape Evans, Ross Island. The data is comprised of both horizontal and vertical brine diffusivity that have been measured in situ and with reduced invasive impact on the ice sheet, which constitutes a significant refinement of the Earth's field NMR technique. The observation that the depth dependence of the diffusion coefficient matched the expected magnitude with the temperature gradient through the ice sheet both confirmed the validity of our experiment and suggested that the sheet is best modelled as a matrix consisting of liquid inclusions in which the water molecules move in a Brownian manner. (c) 2005 Elsevier B.V. All rights reserved.</t>
  </si>
  <si>
    <t>Victoria Univ Wellington, Sch Chem &amp; Phys Sci, MacDiamid Inst Adv Mat &amp; Nanotechnol, Wellington, New Zealand</t>
  </si>
  <si>
    <t>Callaghan, PT (corresponding author), Victoria Univ Wellington, Sch Chem &amp; Phys Sci, MacDiamid Inst Adv Mat &amp; Nanotechnol, Wellington, New Zealand.</t>
  </si>
  <si>
    <t>paul.callaghan@vuw.ac.nz</t>
  </si>
  <si>
    <t>Mercier, Ocean/0000-0003-1296-9954</t>
  </si>
  <si>
    <t>0165-232X</t>
  </si>
  <si>
    <t>1872-7441</t>
  </si>
  <si>
    <t>COLD REG SCI TECHNOL</t>
  </si>
  <si>
    <t>Cold Reg. Sci. Tech.</t>
  </si>
  <si>
    <t>10.1016/j.coldregions.2004.12.004</t>
  </si>
  <si>
    <t>Engineering, Environmental; Engineering, Civil; Geosciences, Multidisciplinary</t>
  </si>
  <si>
    <t>Engineering; Geology</t>
  </si>
  <si>
    <t>943VG</t>
  </si>
  <si>
    <t>WOS:000230382200002</t>
  </si>
  <si>
    <t>Avila, C; Ballesteros, M</t>
  </si>
  <si>
    <t>Avila, C.; Ballesteros, M.</t>
  </si>
  <si>
    <t>Reproduction in Antarctic nudibranchs</t>
  </si>
  <si>
    <t>reproduction; molluscs; Antarctica; egg masses</t>
  </si>
  <si>
    <t>[Avila, C.] CSIC, Ctr Estudis Avancats Blanes, Blanes 17300, Girona, Spain; [Ballesteros, M.] Univ Barcelona, Fac Biol, E-08028 Barcelona, Spain</t>
  </si>
  <si>
    <t>Consejo Superior de Investigaciones Cientificas (CSIC); CSIC - Centre d'Estudis Avancats de Blanes (CEAB); University of Barcelona</t>
  </si>
  <si>
    <t>conxita@ceab.csic.es</t>
  </si>
  <si>
    <t>Avila, Conxita/0000-0002-5489-8376;</t>
  </si>
  <si>
    <t>S335</t>
  </si>
  <si>
    <t>V44GQ</t>
  </si>
  <si>
    <t>WOS:000202991601488</t>
  </si>
  <si>
    <t>Axelsson, M; Davison, W</t>
  </si>
  <si>
    <t>Axelsson, M.; Davison, W.</t>
  </si>
  <si>
    <t>Barostatic control in the Antarctic fish Pagothenia borchgrevinki</t>
  </si>
  <si>
    <t>[Axelsson, M.] Univ Gothenburg, Gothenburg, Sweden; [Davison, W.] Univ Canterbury, Canterbury, New Zealand</t>
  </si>
  <si>
    <t>University of Gothenburg; University of Canterbury</t>
  </si>
  <si>
    <t>Axelsson, Michael/D-1412-2009</t>
  </si>
  <si>
    <t>S190</t>
  </si>
  <si>
    <t>S191</t>
  </si>
  <si>
    <t>WOS:000202991601038</t>
  </si>
  <si>
    <t>Bock, C; Burgard, C; Lannig, G; Poertner, HO</t>
  </si>
  <si>
    <t>Bock, C.; Burgard, C.; Lannig, G.; Poertner, H. -O.</t>
  </si>
  <si>
    <t>The impact of high CO2 concentrations on energy metabolism of Antarctic eelpout Pachycara brachycephalum</t>
  </si>
  <si>
    <t>Zoarcidae; CO2-disposal; P-31-NMR Spectroscopy; energy metabolism; acid-base regulation</t>
  </si>
  <si>
    <t>[Bock, C.; Burgard, C.; Lannig, G.; Poertner, H. -O.] Alfred Wegener Inst Polar &amp; Marine Res, D-2850 Bremerhaven, Germany</t>
  </si>
  <si>
    <t>cbock@awi-bremerhaven.de</t>
  </si>
  <si>
    <t>Pörtner, Hans-O./ISU-9397-2023; Bock, Christian/B-4421-2017; Lannig, Gisela/D-5793-2017; Pörtner, Hans-O./K-9429-2016</t>
  </si>
  <si>
    <t>Bock, Christian/0000-0003-0052-3090; Pörtner, Hans-O./0000-0001-6535-6575</t>
  </si>
  <si>
    <t>S189</t>
  </si>
  <si>
    <t>WOS:000202991601033</t>
  </si>
  <si>
    <t>Brodte, E; Knust, R; Pörtner, HO</t>
  </si>
  <si>
    <t>Brodte, E.; Knust, R.; Poertner, H.-O.</t>
  </si>
  <si>
    <t>Temperature dependence of energy budgets and lipid composition in Antarctic and temperate fish -: an experimental approach</t>
  </si>
  <si>
    <t>thermal limits; latitudinal; comparative; ecological; biogeography</t>
  </si>
  <si>
    <t>[Brodte, E.; Knust, R.; Poertner, H.-O.] Alfred Wegener Inst Polar &amp; Marine Res, D-2850 Bremerhaven, Germany</t>
  </si>
  <si>
    <t>Pörtner, Hans-O./ISU-9397-2023; Brodte, Eva-Maria/B-3717-2018; Pörtner, Hans-O./K-9429-2016</t>
  </si>
  <si>
    <t>Brodte, Eva-Maria/0000-0002-6835-4484; Pörtner, Hans-O./0000-0001-6535-6575</t>
  </si>
  <si>
    <t>S352</t>
  </si>
  <si>
    <t>WOS:000202991601537</t>
  </si>
  <si>
    <t>Clarke, A; Peck, LS</t>
  </si>
  <si>
    <t>Clarke, A.; Peck, L. S.</t>
  </si>
  <si>
    <t>The role of temperature in the shaping of Antarctic ecosystems</t>
  </si>
  <si>
    <t>antarctic; temperature; glaciation; metabolism; scope</t>
  </si>
  <si>
    <t>[Clarke, A.; Peck, L. S.] British Antarctic Survey, Cambridge CB3 0ET, England</t>
  </si>
  <si>
    <t>S333</t>
  </si>
  <si>
    <t>WOS:000202991601482</t>
  </si>
  <si>
    <t>Franklin, CE; Seebacher, F; Davison, B</t>
  </si>
  <si>
    <t>Franklin, Craig E.; Seebacher, Frank; Davison, Bill</t>
  </si>
  <si>
    <t>A falsification Of the thermal specialization paradigm: Compensation of cardiac and locomotor performance to elevated temperatures in Antarctic fish</t>
  </si>
  <si>
    <t>temperature; acclimation; swimming; antarctic; fish</t>
  </si>
  <si>
    <t>[Franklin, Craig E.] Univ Queensland, Brisbane, Qld 4072, Australia; [Seebacher, Frank] Univ Sydney, Sch Biol Sci, Sydney, NSW 2006, Australia; [Davison, Bill] Univ Canterbury, Sch Biol Sci, Christchurch 1, New Zealand</t>
  </si>
  <si>
    <t>University of Queensland; University of Sydney; University of Canterbury</t>
  </si>
  <si>
    <t>Franklin, Craig E/G-7343-2012</t>
  </si>
  <si>
    <t>WOS:000202991601036</t>
  </si>
  <si>
    <t>Mark, F. C.; Hirse, T.; Portner, H.-O.</t>
  </si>
  <si>
    <t>Thermal sensitivity of cellular energy budgets in Antarctic fish hepatocytes</t>
  </si>
  <si>
    <t>S368</t>
  </si>
  <si>
    <t>S369</t>
  </si>
  <si>
    <t>WOS:000202991601578</t>
  </si>
  <si>
    <t>Mark, FC; Hirse, T; Portner, HO</t>
  </si>
  <si>
    <t>Mark, F. C.; Hirse, T.; Portner, H. O.</t>
  </si>
  <si>
    <t>[Mark, F. C.; Hirse, T.; Portner, H. O.] Alfred Wegener Inst Polar &amp; Marine Res, D-2850 Bremerhaven, Germany</t>
  </si>
  <si>
    <t>Pörtner, Hans-O./ISU-9397-2023; Pörtner, Hans-O./K-9429-2016; Mark, Felix Christopher/P-4759-2016</t>
  </si>
  <si>
    <t>Pörtner, Hans-O./0000-0001-6535-6575; Mark, Felix Christopher/0000-0002-5586-6704</t>
  </si>
  <si>
    <t>S351</t>
  </si>
  <si>
    <t>WOS:000202991601536</t>
  </si>
  <si>
    <t>Pellegrino, D; Amelio, D; Garofalo, F; Tota, B; Cerra, MC</t>
  </si>
  <si>
    <t>Pellegrino, D.; Amelio, D.; Garofalo, F.; Tota, B.; Cerra, M. C.</t>
  </si>
  <si>
    <t>The NOS system in the heart of white- and red-blooded Antarctic teleosts</t>
  </si>
  <si>
    <t>[Pellegrino, D.; Amelio, D.; Garofalo, F.; Tota, B.; Cerra, M. C.] Univ Calabria, I-87030 Commenda Di Rende, Italy; [Tota, B.] Stn Zool A Dohrn, I-80121 Naples, Italy</t>
  </si>
  <si>
    <t>University of Calabria; Stazione Zoologica Anton Dohrn di Napoli</t>
  </si>
  <si>
    <t>danielapellegrino@unical.it</t>
  </si>
  <si>
    <t>S353</t>
  </si>
  <si>
    <t>S354</t>
  </si>
  <si>
    <t>WOS:000202991601543</t>
  </si>
  <si>
    <t>Rogers, AD</t>
  </si>
  <si>
    <t>Rogers, A. D.</t>
  </si>
  <si>
    <t>Gene flow and speciation in the permanent cold</t>
  </si>
  <si>
    <t>antarctica; evolution; phylogenetics; terrestrial; marine</t>
  </si>
  <si>
    <t>[Rogers, A. D.] British Antarctic Survey, Cambridge CB3 0ET, England</t>
  </si>
  <si>
    <t>Adr2@bas.ac.uk</t>
  </si>
  <si>
    <t>S329</t>
  </si>
  <si>
    <t>WOS:000202991601468</t>
  </si>
  <si>
    <t>Upson, R; Newsham, KK; Read, DJ</t>
  </si>
  <si>
    <t>Upson, R.; Newsham, K. K.; Read, D. J.</t>
  </si>
  <si>
    <t>Genetic system of pea (Pisum sativum L.) controlling development of its symbioses:: fundamentals and applications</t>
  </si>
  <si>
    <t>antarctic terrestrial ecosystems; dark septate root endophytes; molecular diversity; Cephaloziella varians; Hymenoscyphus ericae</t>
  </si>
  <si>
    <t>[Upson, R.; Read, D. J.] Univ Sheffield, Dept Anim &amp; Plant Sci, Sheffield S10 2TN, S Yorkshire, England; [Newsham, K. K.] British Antarctic Survey, Div Biol Sci, Cambridge CB3 0ET, England</t>
  </si>
  <si>
    <t>University of Sheffield; UK Research &amp; Innovation (UKRI); Natural Environment Research Council (NERC); NERC British Antarctic Survey</t>
  </si>
  <si>
    <t>R.Upson@sheffield.ac.uk</t>
  </si>
  <si>
    <t>Read, David J/C-2454-2013; Newsham, Kevin K/C-4192-2011</t>
  </si>
  <si>
    <t>S220</t>
  </si>
  <si>
    <t>WOS:000202991601140</t>
  </si>
  <si>
    <t>Vieira, VLA; Fernandes, JMO; Johnston, IA</t>
  </si>
  <si>
    <t>Vieira, V. L. A.; Fernandes, J. M. O.; Johnston, I. A.</t>
  </si>
  <si>
    <t>Characterisation and expression of genes regulating myogenesis in Antarctic and sub-Antarctic fish</t>
  </si>
  <si>
    <t>harpagifer; myostatin; myogenesis; Antarctic and sub-Antarctic fish</t>
  </si>
  <si>
    <t>[Vieira, V. L. A.; Fernandes, J. M. O.; Johnston, I. A.] Univ St Andrews, Sch Biol, Gatty Marine Lab, St Andrews, Fife, Scotland</t>
  </si>
  <si>
    <t>University of St Andrews</t>
  </si>
  <si>
    <t>vlav@st-andrews.ac.uk</t>
  </si>
  <si>
    <t>Johnston, Ian A./AAE-2044-2019</t>
  </si>
  <si>
    <t>S334</t>
  </si>
  <si>
    <t>WOS:000202991601484</t>
  </si>
  <si>
    <t>Hunt, BPV; Hosie, GW</t>
  </si>
  <si>
    <t>Zonal structure of zooplankton communities in the Southern Ocean South of Australia: results from a 2150 km continuous plankton recorder transect</t>
  </si>
  <si>
    <t>Southern Ocean; zooplankton; community structure; continuous plankton recorder; multivariate analysis; biogeography</t>
  </si>
  <si>
    <t>ANTARCTIC CIRCUMPOLAR CURRENT; LIFE-CYCLE STRATEGIES; POLAR FRONTAL ZONE; MARGINAL ICE-ZONE; SEA-ICE; SCOTIA SEA; SEASONAL EVOLUTION; PELAGIC COPEPODS; ATLANTIC SECTOR; INDIAN SECTOR</t>
  </si>
  <si>
    <t>The Southern Ocean south of Australia is oceanographically complex, being characterized by double branches of the Sub-Antarctic Front (SAF), Polar Front (PF) and Southern Antarctic Circumpolar Current (SACCF), in addition to the Southern Boundary (SB) of the ACC. From 25 February to 3 March 2002 a 2150-km Continuous Plankton Recorder (CPR) transect was conducted along 140 degrees E, between 47.02 degrees S and 66.36 degrees S, crossing each of these frontal zones. Surface temperature, salinity, and fluorescence were measured at 1-min intervals in conjunction with CPR samples. Additional physical data for the region south of 61 degrees S was provided by nine CTD stations. Multivariate and Indicator Species analysis of the high resolution (similar to 9.2 km) zooplankton samples identified six distinct assemblages which were strongly correlated with frontal/oceanographic zones. These assemblages appeared to be structured by a combination of zonal differences in water mass structure, phytoplankton regimes, and small scale intra-zonal features (e.g. eddies). The northern branch of the SAF was the strongest biogeographic boundary, separating a high proportion of sub-tropical and temperate species frorn the waters to its south. The Study area differed from other sectors of the Southern Ocean in that the northern PF, equivalent to the PF in other sectors, was not a zone of distinct ecological transition. Two of the identified assemblages were located with the seasonal ice zone, south of the northern SACCF. Although Euphausia superba larvae were a component of both of these assemblages, this species, together with appendicularia, was most abundant south of the SB. The seasonal ice zone north of the SB was dominated by small copepods (Oithona similis and Clenocalanus citer), appendicularia and foraminifera. Although the physical characteristics of the frontal zones can be subtle, the demarcation between zooplankton assemblages was clear. Cross-frontal changes in zooplankton assemblages highlight their role in long-term monitoring programs as indicators of environmental change. (c) 2005 Elsevier Ltd. All rights reserved.</t>
  </si>
  <si>
    <t>Australian Antarctic Div, Kingston, Tas 7050, Australia; Inst Antarctic &amp; So Ocean Studies, Hobart, Tas 7001, Australia</t>
  </si>
  <si>
    <t>brian.hunt@aad.gov.au</t>
  </si>
  <si>
    <t>10.1016/j.dsr.2004.11.019</t>
  </si>
  <si>
    <t>944HM</t>
  </si>
  <si>
    <t>WOS:000230417900008</t>
  </si>
  <si>
    <t>Auel, H; Hagen, W</t>
  </si>
  <si>
    <t>Body mass and lipid dynamics of Arctic and Antarctic deep-sea copepods (Calanoida, Paraeuchaeta):: ontogenetic and seasonal trends</t>
  </si>
  <si>
    <t>polar; Antarctic; Arctic; Weddell sea; Fram strait; bathypelagic zone; copepod; dry weight; lipids; reproduction; ontogeny; seasonal variations; food availability; biomass</t>
  </si>
  <si>
    <t>EUCHAETA-NORVEGICA COPEPODA; CARNIVOROUS MARINE COPEPOD; SOUTH-GEORGIA; BIOCHEMICAL-COMPOSITION; POPULATION-STRUCTURE; EGG-PRODUCTION; WATER COLUMN; LIFE-CYCLE; ZOOPLANKTON; ADAPTATIONS</t>
  </si>
  <si>
    <t>Ontogenetic and seasonal trends in body dry mass (DM) and total lipid content were studied in polar species of the predatory calanoid copepod genus Paraeuchaeta. Analyses included the Arctic representatives Paraeuchaeta glacialis, P. norvegica, P. barbata, and P. polaris as well as the Antarctic congener P. antarctica and one sample of P. cf. biloba. A total of 567 samples including 7007 individuals collected during four Antarctic and six Arctic research cruises was processed to provide seasonal coverage from spring to fall for both areas investigated, the Antarctic Weddell Sea and Arctic Fram Strait. All epipelagic species, i.e. P. glacialis, P. norvegica, and P. antarctica, showed a continuous increase in body DM from early copepodite stage CI onwards to stage CV. On average, body mass tripled with every moult. In females, body mass tripled again during the last moult to adulthood, whereas adult males, which have reduced mouthparts and do not feed at all, did not significantly increase their body mass after moulting from the CV stage. In contrast, early stages, i.e. nauplii to copepodids CII of the bathypelagic species P. barbata remained at similar DMs. The deepest living species P. polaris was characterised by relatively large juvenile stages but small adult females, resulting in a rather small increase in body mass during ontogenetic development. Total lipid content decreased from maximum values of 60-70% of DM in eggs and early copepodite stages to &lt; 20-30% DM in stage CIII. Starting with stage CIV, lipids were again accumulated leading to high values of 40% to &gt; 50% DM in adult females. Distinct differences were detected with regard to seasonal trends of body mass and lipid content between epipelagic and bathypelagic species: Copepodids CIV, CV and adult females of epipelagic species exhibited highest body masses and lipid contents in fall, whereas for the deeper-living P. barbata maximum values occurred in spring. These discrepancies are discussed in relation to reproductive patterns and differences in abiotic and biotic environmental factors between the epipelagic and bathypelagic zones. (c) 2005 Elsevier Ltd. All rights reserved.</t>
  </si>
  <si>
    <t>Univ Bremen, D-28334 Bremen, Germany</t>
  </si>
  <si>
    <t>Auel, H (corresponding author), Univ Bremen, POB 330 440, D-28334 Bremen, Germany.</t>
  </si>
  <si>
    <t>hauel@uni-bremen.de</t>
  </si>
  <si>
    <t>10.1016/j.dsr.2005.01.005</t>
  </si>
  <si>
    <t>WOS:000230417900009</t>
  </si>
  <si>
    <t>Yergeau, DA; Cornell, CN; Parker, SK; Zhou, Y; Detrich, HW</t>
  </si>
  <si>
    <t>bloodthirsty, an RBCC/TRIM gene required for erythropoiesis in zebrafish</t>
  </si>
  <si>
    <t>DEVELOPMENTAL BIOLOGY</t>
  </si>
  <si>
    <t>Chaenocephalus aceralus; Notothenia coriiceps; Danio rerio; B30.2; bloodthirsty (bty) gene; rcefish; rockcod; zebrafish; erythropoiesis; hematopoicsis; RING-B box-coiled-coil (RBCQ; tripartite motif(TRIM)</t>
  </si>
  <si>
    <t>REPRESENTATIONAL DIFFERENCE ANALYSIS; PROTEIN-PROTEIN INTERACTIONS; RADIATION HYBRID MAP; RING FINGER PROTEIN; COILED-COIL DOMAIN; UBIQUITIN LIGASE; NEGATIVE REGULATION; REPRESSOR DOMAIN; GLOBIN GENES; COMPLEX</t>
  </si>
  <si>
    <t>The Antarctic icefishes (family Channichthyidae, suborder Notothenioidei) constitute the only vertebrate taxon that fails to produce red blood cells. These fishes can be paired with closely related, but erythrocyte-producing, notothenioids to discover erythropoietic genes via representational difference analysis. Using a B30.2-domain-encoding DNA probe so derived from the hematopoietic kidney (pronephros) of a red-blooded Antarctic rockcod, Notothenia coriiceps, we discovered a related, novel gene, bloodthirsty (bty), that encoded a 547-residue protein that contains sequential RING finger, B Box, coiled-coil, and B30.2 domains. bty; mRNA was expressed by the pronephric kidney of N. coriiceps at a steady-state level 10-fold greater than that found in the kidney of the icefish Chaenocephalus aceratus. To test the function of bty, we cloned the orthologous zebrafish gene from a kidney cDNA library. Whole-mount in situ hybridization of zebrafish embryos showed that bty mRNA was present throughout development and, after the mid-blastula transition, was expressed in the head and in or near the site of primitive erythropoiesis in the tail just prior to red cell production. One- to four-cell embryos injected with two distinct antisense morpholino oligonucleotides (MOs) targeted to the 5'-end of the bty mRNA failed to develop red cells, whereas embryos injected with 4- and 5-bp mismatch control MOs produced wild-type quantities of erythrocytes. The morphant phenotype was rescued by co-injection of synthetic bty mRNA containing an artificial 5'-untranslated region (UTR) with the antisense MO that bound the 5'-UTR of the wild-type bty transcript. Furthermore, the expression of genes that mark terminal erythroid differentiation was greatly reduced in the antisense-MO-treated embryos. We conclude that bty is likely to play a role in differentiation of the committed red cell progenitor. (C) 2005 Elsevier Inc. All rights reserved.</t>
  </si>
  <si>
    <t>Northeastern Univ, Dept Biol, Boston, MA 02115 USA; Harvard Univ, Sch Med, Childrens Hosp, Boston, MA 02115 USA; Harvard Univ, Sch Med, Howard Hughes Med Inst, Boston, MA 02115 USA</t>
  </si>
  <si>
    <t>Northeastern University; Harvard University; Boston Children's Hospital; Harvard Medical School; Howard Hughes Medical Institute; Harvard University; Harvard Medical School</t>
  </si>
  <si>
    <t>0012-1606</t>
  </si>
  <si>
    <t>1095-564X</t>
  </si>
  <si>
    <t>DEV BIOL</t>
  </si>
  <si>
    <t>Dev. Biol.</t>
  </si>
  <si>
    <t>JUL 1</t>
  </si>
  <si>
    <t>10.1016/j.ydbio.2005.04.006</t>
  </si>
  <si>
    <t>Developmental Biology</t>
  </si>
  <si>
    <t>944HR</t>
  </si>
  <si>
    <t>WOS:000230418400008</t>
  </si>
  <si>
    <t>Vione, D; Maurino, V; Minero, C; Calza, P; Pelizzetti, E</t>
  </si>
  <si>
    <t>Phenol chlorination and photochlorination in the presence of chloride ions in homogeneous aqueous solution</t>
  </si>
  <si>
    <t>TERRA-NOVA BAY; HYDROGEN-PEROXIDE; UV IRRADIATION; RATE CONSTANTS; ENVIRONMENTAL CHEMISTRY; INORGANIC RADICALS; ANTARCTIC AEROSOL; ORGANIC-COMPOUNDS; NITRATE IONS; SOLUTION II</t>
  </si>
  <si>
    <t>Phenol chlorination was studied in the presence of dissolved Fe(III) and chloride under irradiation and of hydrogen peroxide and chloride in dark acidic solutions. In the former case phenol photochlorination is most likely due to the formation Of Cl-2(center dot-) as a consequence of Fe(III) irradiation in the presence of chloride. The most efficient pathway is the photolysis of FeOH2+ producing hydroxyl, which oxidizes chloride to Cl-center dot. The latter finally yields Cl-2(center dot-) upon further reaction with chloride.The importance of the pathway involving FeOH2+ is higher at higher pH and moderately low chloride concentration. At pH 2.0 and [Cl-] &gt; 0.03 M chlorophenol generation rate decreases with increasing [Cl-, due to the formation of the much less photoactive species Fe Cl2+/FeCl2+. The photolysis of FeCl2+/ FeCl2+ yielding Cl-center dot is likely to play an important role at pH 0.5 and high chloride, but under such conditions chlorophenol formation rates are about an order of magnitude lower than at pH 2.0. Due to pH and kinetic constraints, under most environmental conditions the photochemistry of FeCl2+/FeCl2+ can be expected to play a minor role toward chlorination when compared with the one of FeOH2+, which leads to hydroxyl-mediated chloride oxidation. Hydrogen peroxide and chloride react in dark acidic solutions to yield HCIO, involved in electrophilic chlorination processes. Chlorophenol formation rates under such conditions are directly proportional to [H+]. The described chlorination and photochlorination processes can take place in acidic aerosols of marine origin, naturally rich in chloride and Fe(III). Antarctic aerosol is also rich of hydrogen peroxide and often strongly acidic due to the presence of sulfuric acid of biogenic origin.</t>
  </si>
  <si>
    <t>Univ Turin, Dipartimento Chim Analit, I-10125 Turin, Italy</t>
  </si>
  <si>
    <t>University of Turin</t>
  </si>
  <si>
    <t>Vione, D (corresponding author), Univ Turin, Dipartimento Chim Analit, Via P Giuria 5, I-10125 Turin, Italy.</t>
  </si>
  <si>
    <t>davide.vione@unito.it</t>
  </si>
  <si>
    <t>Minero, Claudio/A-6444-2008; Vione, Davide/A-4047-2008</t>
  </si>
  <si>
    <t>Minero, Claudio/0000-0001-9484-130X; Maurino, Valter/0000-0001-8456-525X</t>
  </si>
  <si>
    <t>10.1021/es0480567</t>
  </si>
  <si>
    <t>941WS</t>
  </si>
  <si>
    <t>WOS:000230245500062</t>
  </si>
  <si>
    <t>Vlasov, DY; Abakumov, EV; Nadporozhskaya, MA; Kovsh, NV; Krylenkov, VA; Lukin, VV; Safronova, EV</t>
  </si>
  <si>
    <t>Lithosols of King George Island, western Antarctica</t>
  </si>
  <si>
    <t>EURASIAN SOIL SCIENCE</t>
  </si>
  <si>
    <t>SOILS</t>
  </si>
  <si>
    <t>Original data on soil formation in the coastal area of Antarctica in the vicinity of the Bellingshausen Z, Antarctic Station are given. Soil morphology, micromorphology, and physicochemical properties are discussed. Specific features of humus formation under the severe climatic conditions of Antarctica are comprehensively studied. Data on the species composition and number of micromycetes in the studied soils are obtained.</t>
  </si>
  <si>
    <t>St Petersburg State Univ, St Petersburg 198504, Russia</t>
  </si>
  <si>
    <t>Saint Petersburg State University</t>
  </si>
  <si>
    <t>St Petersburg State Univ, Oranienbaumskoe Sh 2, St Petersburg 198504, Russia.</t>
  </si>
  <si>
    <t>Abakumov, Evgeny/AAO-8580-2020; Abakumov, e_abakumov@mail.ru/ADJ-1297-2022; , Marina/AGQ-0592-2022; Nadporozhskaya, Marina/AAB-6610-2020; Lukin, Vladimir V./A-8219-2014; Vlasov, Dmitry/J-8866-2013</t>
  </si>
  <si>
    <t>Abakumov, Evgeny/0000-0002-5248-9018; Abakumov, e_abakumov@mail.ru/0000-0002-5248-9018; , Marina/0000-0001-8800-074X; Vlasov, Dmitry/0000-0001-9763-9078; Vlasov, Dmitry/0000-0002-0455-1462</t>
  </si>
  <si>
    <t>PLEIADES PUBLISHING INC</t>
  </si>
  <si>
    <t>PLEIADES PUBLISHING INC, MOSCOW, 00000, RUSSIA</t>
  </si>
  <si>
    <t>1064-2293</t>
  </si>
  <si>
    <t>1556-195X</t>
  </si>
  <si>
    <t>EURASIAN SOIL SCI+</t>
  </si>
  <si>
    <t>Eurasian Soil Sci.</t>
  </si>
  <si>
    <t>948FT</t>
  </si>
  <si>
    <t>WOS:000230702100001</t>
  </si>
  <si>
    <t>Castellano I; Ruocco, MR; Masullo, M; Di Maro, A; Chambery, A; De Vendittis, E</t>
  </si>
  <si>
    <t>Castellano, I; Ruocco, MR; Masullo, M; Di Maro, A; Chambery, A; De Vendittis, E</t>
  </si>
  <si>
    <t>Superoxide dismutase from the psychrophilic Antarctic eubacterium Pseudoalteromonas haloplanktis</t>
  </si>
  <si>
    <t>FEBS JOURNAL</t>
  </si>
  <si>
    <t>30th Congress of the Federation-of-European-Biochemical-Societies (FEBS)/9th IUBMB Conference</t>
  </si>
  <si>
    <t>JUL 02-07, 2005</t>
  </si>
  <si>
    <t>Budapest, HUNGARY</t>
  </si>
  <si>
    <t>Univ Naples Federico 2, Dept Biochem &amp; Med Biotechnol, Lab V Bocchini &amp; O Fasano, Naples, Italy; Univ Catanzaro Magna Graecia, Dept Pharmacobiol Sci, Catanzaro, Italy; Univ Naples 2, Dept Life Sci, Caserta, Italy</t>
  </si>
  <si>
    <t>University of Naples Federico II; Magna Graecia University of Catanzaro; Universita della Campania Vanvitelli</t>
  </si>
  <si>
    <t>devendittis@dbbm.unina.it</t>
  </si>
  <si>
    <t>Masullo, Mariorosario/H-4884-2016; Castellano, Immacolata/AAD-5523-2019; Di Maro, Antimo/AEM-8941-2022</t>
  </si>
  <si>
    <t>Di Maro, Antimo/0000-0002-9595-9665</t>
  </si>
  <si>
    <t>WILEY-BLACKWELL PUBLISHING, INC</t>
  </si>
  <si>
    <t>1742-464X</t>
  </si>
  <si>
    <t>FEBS J</t>
  </si>
  <si>
    <t>FEBS J.</t>
  </si>
  <si>
    <t>005MG</t>
  </si>
  <si>
    <t>WOS:000234826100284</t>
  </si>
  <si>
    <t>Maxson, R</t>
  </si>
  <si>
    <t>Adaptation: A developmental biologist in the Antarctic</t>
  </si>
  <si>
    <t>GENESIS</t>
  </si>
  <si>
    <t>SEA-URCHIN</t>
  </si>
  <si>
    <t>Univ So Calif, Norris Hosp, Dept Biochem &amp; Mol Biol, Keck Sch Med, Los Angeles, CA 90033 USA</t>
  </si>
  <si>
    <t>University of Southern California</t>
  </si>
  <si>
    <t>Maxson, R (corresponding author), Univ So Calif, Norris Hosp, Dept Biochem &amp; Mol Biol, Keck Sch Med, Room 7310,1441 Eastlake Ave, Los Angeles, CA 90033 USA.</t>
  </si>
  <si>
    <t>maxson_r@ccnt.hsc.usc.edu</t>
  </si>
  <si>
    <t>1526-954X</t>
  </si>
  <si>
    <t>Genesis</t>
  </si>
  <si>
    <t>10.1002/gene.20148</t>
  </si>
  <si>
    <t>Developmental Biology; Genetics &amp; Heredity</t>
  </si>
  <si>
    <t>950CT</t>
  </si>
  <si>
    <t>WOS:000230835900001</t>
  </si>
  <si>
    <t>Sánchez-Baracaldo, P; Hayes, PK; Blank, CE</t>
  </si>
  <si>
    <t>Sanchez-Baracaldo, P.; Hayes, P. K.; Blank, C. E.</t>
  </si>
  <si>
    <t>Morphological and habitat evolution in the Cyanobacteria using a compartmentalization approach</t>
  </si>
  <si>
    <t>GEOBIOLOGY</t>
  </si>
  <si>
    <t>16S RIBOSOMAL-RNA; BLUE-GREEN-ALGAE; PHYLOGENETIC-RELATIONSHIPS; HETEROCYSTOUS CYANOBACTERIA; AKINETE DIFFERENTIATION; MOLECULAR PHYLOGENY; PERMUTATION TESTS; SEQUENCE-ANALYSIS; GLIDING MOTILITY; PHOTOSYSTEM-II</t>
  </si>
  <si>
    <t>A phylogenomic approach was used to study the evolution of traits in the Cyanobacteria. A cyanobacterial backbone tree was constructed using multiple concatenated sequences from whole genome sequences. Additional taxa were added using a separate alignment that contained morphological characters, SSU (small subunit) and LSU (large subunit) rDNA, rpoC, rpoD, tufA, and gyrB genes. A compartmentalization approach was then used to construct a robust phylogeny with resolved deep branches. Additional morphological characters (e. g. unicellular or filamentous growth, presence or absence of heterocysts) were coded, mapped onto the backbone cyanobacterial tree, and the ancestral character states inferred. Our analyses show that the earliest cyanobacterial lineages were likely unicellular coccoid/ellipsoidal/short rods that lived in terrestrial/freshwater environments. Later cyanobacterial lineages independently gained the ability to colonize brackish, marine, and hypersaline environments while acquiring a large number of more complex traits: sheath, filamentous growth, nitrogen fixation, thermophily, motility, and use of sulphide as an electron donor. Many of these adaptations would have been important in the appearance of dense microbial mats early in Earth's history. Complex traits such as hormogonia, heterocysts, and akinetes had a single ancestor. Within the Nostocales, hormogonia and heterocysts arose before akinetes.</t>
  </si>
  <si>
    <t>[Blank, C. E.] Washington Univ, Dept Earth &amp; Planetary Sci, St Louis, MO 63130 USA; [Sanchez-Baracaldo, P.; Hayes, P. K.] Univ Bristol, Sch Biol Sci, Bristol BS8 1UG, Avon, England</t>
  </si>
  <si>
    <t>Washington University (WUSTL); University of Bristol</t>
  </si>
  <si>
    <t>Blank, CE (corresponding author), Washington Univ, Dept Earth &amp; Planetary Sci, St Louis, MO 63130 USA.</t>
  </si>
  <si>
    <t>blank@wustl.edu</t>
  </si>
  <si>
    <t>Sanchez-Baracaldo, Patricia/A-5309-2017</t>
  </si>
  <si>
    <t>Sanchez-Baracaldo, Patricia/0000-0002-5216-2664; Blank, Carrine/0000-0002-2100-6351</t>
  </si>
  <si>
    <t>NERC [NER/T/S/2000/01356]</t>
  </si>
  <si>
    <t>Portions of this work were supported by a NERC grant from by the Marine and Freshwater Microbial Biodiversity thematic program (NER/T/S/2000/01356). We thank Tim Colborn for assistance with figures and Hugh Chou for computing assistance. We are grateful for helpful comments from colleagues including five anonymous reviewers, Brent Mishler, participants of the 2005 Wenner-Gren International Symposium on Marine Cyanobacteria, Chuck Delwiche, Erik Webb, Allan Larson, Chris House, and Kurt Konhauser. We would also like to acknowledge Warwick Vincent for sharing unpublished data on the salinity of Antarctic lakes, and the Centro Internacional de Fisica (Bogota-Colombia) for institutional support to P.S-B.</t>
  </si>
  <si>
    <t>1472-4677</t>
  </si>
  <si>
    <t>1472-4669</t>
  </si>
  <si>
    <t>Geobiology</t>
  </si>
  <si>
    <t>10.1111/j.1472-4669.2005.00050.x</t>
  </si>
  <si>
    <t>Biology; Environmental Sciences; Geosciences, Multidisciplinary</t>
  </si>
  <si>
    <t>Life Sciences &amp; Biomedicine - Other Topics; Environmental Sciences &amp; Ecology; Geology</t>
  </si>
  <si>
    <t>V06CO</t>
  </si>
  <si>
    <t>WOS:000207171900001</t>
  </si>
  <si>
    <t>Gounelle, M; Engrand, C; Alard, O; Bland, PA; Zolensky, ME; Russell, SS; Duprat, J</t>
  </si>
  <si>
    <t>Hydrogen isotopic composition of water from fossil micrometeorites in howardites</t>
  </si>
  <si>
    <t>INTERPLANETARY DUST PARTICLES; HIGHLY SIDEROPHILE ELEMENTS; EARTHS UPPER-MANTLE; S-TYPE ASTEROIDS; CARBONACEOUS CHONDRITES; SOLAR-SYSTEM; COSMIC SPHERULES; ION MICROPROBE; PARENT BODIES; CM CHONDRITE</t>
  </si>
  <si>
    <t>We have measured the hydrogen isotopic composition (D/H ratios) of the water from 13 carbonaceous chondritic microclasts (CCMs, size &lt;1 mm) trapped in two howardites (Kapoeta and Yamato-793497) early in the evolution of Solar System. The division into tochilinite-rich; magnetite-rich, olivine-poor; magnetite-rich, olivine-rich CCM types is corroborated by the hydrogen isotopic compositions. Both mineralogy and hydrogen isotopic compositions demonstrate that tochilinite-rich CCMs represent CM2 chondritic matter. In contrast, there is no good match between the isotopic and mineralogical properties of the magnetite-rich CCMs and the known groups of carbonaceous chondrites, suggesting that magnetite-rich CCMs represent a new kind of chondritic matter, not yet sampled in meteorite collections. This demonstrates that the view of the asteroid belt revealed by the collection of meteorites is incomplete. The study of (micro)clasts offers a unique opportunity to better decipher the nature and relative abundance of asteroids. The average hydrogen isotopic composition of water belonging to CCMs, D/H = (152.0 +/- 4.8) X 10(-6) (1 sigma(m)), is similar to that of Antarctic micrometeorites (AMMs), D/H = (161.2 +/- 3.8) X 10(-6) (1 sigma(m)). The similarity, in terms of mineralogy and hydrogen isotopic composition, between CCMs and AMMs demonstrates that the composition of the micrometeorites has not been modified over the whole history of the Solar System. It indicates that the composition of the micrometeorite flux onto Earth has been, and is, dominated by a mixture of CM2-like; magnetite-rich, olivine-poor; magnetite-rich, olivine-rich carbonaceous chondritic matter exemplified by CCMs found in howardites. Because CCMs have not suffered atmospheric entry, they provide an abundant source of pristine micrometeorites. The average D/H ratio of the whole population of CCMs is identical within errors to that of the Earth (149 +/- 3 X 10(-6)). The match between the CCMs D/H ratio and that of the Earth is especially remarkable because 1) three different populations of CCMs are needed to make the D/H ratio of the Earth; 2) there is no single carbonaceous chondrite group for which a similar match exists. This observation suggests that CCMs population might be representative of the late veneer agent(s) that delivered water to the Earth. Copyright (C) 2005 Elsevier Ltd.</t>
  </si>
  <si>
    <t>CSNSM, F-91405 Orsay, France; Univ Paris 11, F-91405 Orsay, France; Nat Hist Museum, Dept Mineral, London SW7 5BD, England; Open Univ, Dept Earth Sci, Milton Keynes MK7 6AA, Bucks, England; Univ London Imperial Coll Sci Technol &amp; Med, Dept Earth Sci &amp; Engn, London SW7 2AZ, England; NASA, Lyndon B Johnson Space Ctr, KT, Houston, TX 77058 USA</t>
  </si>
  <si>
    <t>Universite Paris Saclay; Universite Paris Saclay; Natural History Museum London; Open University - UK; Imperial College London; National Aeronautics &amp; Space Administration (NASA); NASA Johnson Space Center</t>
  </si>
  <si>
    <t>CSNSM, Batiment 104, F-91405 Orsay, France.</t>
  </si>
  <si>
    <t>gounelle@csnsm.in2p3.fr</t>
  </si>
  <si>
    <t>ALARD, Olivier/A-7128-2008; ALARD, Olivier/R-7755-2016; Bland, Phil/M-9392-2018</t>
  </si>
  <si>
    <t>ALARD, Olivier/0000-0002-0832-6625; ALARD, Olivier/0000-0002-0832-6625; Bland, Phil/0000-0002-4681-7898; Zolensky, Michael/0000-0002-3181-1303; Russell, Sara/0000-0001-5531-7847</t>
  </si>
  <si>
    <t>10.1016/j.gca.2004.12.021</t>
  </si>
  <si>
    <t>944ZS</t>
  </si>
  <si>
    <t>WOS:000230470500018</t>
  </si>
  <si>
    <t>Williams, M; Haywood, AM; Hillenbrand, CD; Wilkinson, IP</t>
  </si>
  <si>
    <t>Efficacy of δ18O data from Pliocene planktonic foraminifer calcite for spatial sea surface temperature reconstruction:: comparison with a fully coupled ocean-atmosphere GCM and fossil assemblage data for the mid-Pliocene</t>
  </si>
  <si>
    <t>Pliocene; foraminifer; oxygen isotopes; diagenesis</t>
  </si>
  <si>
    <t>NORTH-ATLANTIC OCEAN; STABLE-ISOTOPE VARIABILITY; TROPICAL TEMPERATURES; CONTINENTAL RISE; OXYGEN; GREENHOUSE; WARMTH; PALEOCLIMATOLOGY; EPISODES; MAXIMUM</t>
  </si>
  <si>
    <t>Sea surface temperature (SST) estimates using the delta O-18 composition of fossil planktonic foraminifer calcite, within the time slice 3.12 to 3.05 Ma (Pliocene, Kaena Subchron - C2An1r) are assessed for nine Atlantic Ocean sites. These are compared with SST estimates from fossil assemblages for the 'Time Slab' 3.29-2.97 Ma and with estimates from a fully coupled ocean-atmosphere General Circulation Model (GCM) for the same time interval. Most SST estimates derived from the delta O-18 data indicate a cooler ocean surface than at present, through the latitudinal range 69.25 degrees N to 46.88 degrees S. At some sites the temperature difference is greater than 5 degrees C (cooler than at present). This contrasts with SST estimates from fossil assemblages that give warmer than present temperatures at mid- to high latitudes, and similar temperatures in the tropics, and with the GCM, which predicts SSTs warmer than at present across all latitudes for this time interval. Difficulties interpreting the ecology of fossil foraminifer assemblages and inaccurate estimates of mid-Pliocene seawater delta O-18 composition (delta O-18(sw)) at some sites may partly produce the temperature discrepancy between isotope-based and fossil-based SST estimates, but do not adequately explain the cool signal of the former. We interpret the cool SST estimates from the delta O-18 data to be the product of: (a) calcite formed at a level deep within or below the ocean mixed-layer during the life-cycle of the foraininifera; (b) secondary calcite with higher delta O-18 formed in the planktonic foraminifer tests in sea bottom pore waters. Although these effects differ between sites, secular and temporal oceanographic trends are preserved in the primary calcite formed in the mixed-layer near the ocean surface, witnessed by the latitudinal variation in estimated SSTs. Reconstructing accurate mid-Pliocene SSTs with much of the existing published oxygen isotope data probably requires a detailed re-assessment of taphonomy, particularly at tropical sites. This study also indicates that methods for estimating Atlantic Pliocene delta O-18(sw) need to be refined.</t>
  </si>
  <si>
    <t>British Antarctic Survey, Geol Sci Div, Cambridge CB3 0ET, England; British Geol Survey, Nottingham NG12 5GG, England</t>
  </si>
  <si>
    <t>UK Research &amp; Innovation (UKRI); Natural Environment Research Council (NERC); NERC British Antarctic Survey; UK Research &amp; Innovation (UKRI); Natural Environment Research Council (NERC); NERC British Geological Survey</t>
  </si>
  <si>
    <t>10.1017/S0016756805000828</t>
  </si>
  <si>
    <t>976UC</t>
  </si>
  <si>
    <t>WOS:000232757900006</t>
  </si>
  <si>
    <t>Pekar, SF; Hucks, A; Fuller, M; Li, S</t>
  </si>
  <si>
    <t>Glacioeustatic changes in the early and middle Eocene (51-42 Ma):: Shallow-water stratigraphy from ODP Leg 189 Site 1171 (South Tasman Rise) and deep-sea δ18O records</t>
  </si>
  <si>
    <t>Eocene; eustasy; Ocean Drilling Program; Leg 189; stratigraphy; foraminifer; sea level; Australia; Site 1171</t>
  </si>
  <si>
    <t>COASTAL-PLAIN; OLIGOCENE; SEQUENCES; EUSTASY; LEVEL; GLACIATION; ISOTOPES; HISTORY; MARGIN</t>
  </si>
  <si>
    <t>Sequence boundary ages determined in shallow-water sediments obtained from ODP (Ocean Drilling Program) Leg 189 Site 1171 (South Tasman Rise) compare well with other stratigraphic records (New Jersey, United States, and northwestern Europe) and delta(18)O increases from deep-sea records, indicating that significant (&gt; 10 m) eustatic changes occurred during the early to middle Eocene (51-42 Ma). Sequence boundaries were identified and dated using lithology, bio- and magnetostratigraphy, water-depth changes, CaCO3 content, and physical properties (e.g., photospectrometry). They are characterized by a sharp bioturbated surface, low CaCO3 content, and an abrupt increase in glauconite above the surface. Foraminiferal biofacies and planktonic/benthic foraminiferal ratios were used to estimate water-depth changes. Ages of six sequence boundaries (50.9,49.2, 48.5-47.8, 47.1, 44.5, and 42.6 Ma) from Site 1171 correlate well to the timings of delta(18)O increases and sequence boundaries identified from other Eocene studies. The synchronous nature of sequence boundary development from globally distal sites and 8110 increases indicates a global control and that glacioeustasy was operating in this supposedly ice-free world. This is supported by previous modeling studies and atmospheric pCO(2) estimates showing that the first time pCO(2) levels decreased below a threshold that would support the development of an Antarctic ice sheet occurred at ca. 51 Ma. Estimates of sea-level amplitudes range from similar to 20 m for the early Eocene (51-49 Ma) and similar to 25 m to similar to 45 m for the middle Eocene (48-42 Ma) using constraints established for Oligocene delta(18)O records.</t>
  </si>
  <si>
    <t>CUNY Queens Coll, Sch Earth &amp; Environm Sci, Flushing, NY 11367 USA; Columbia Univ, Lamont Doherty Geol Observ, Palisades, NY 10964 USA; Penn State Univ, Dept Geosci, University Pk, PA 16802 USA; Univ Hawaii Manoa, Hawaii Inst Geophys &amp; Planetol, Sch Ocean &amp; Earth Sci &amp; Technol, Honolulu, HI 96822 USA; Columbia Univ, Dept Earth &amp; Environm Engn, New York, NY 10027 USA</t>
  </si>
  <si>
    <t>City University of New York (CUNY) System; Queens College NY (CUNY); Columbia University; Pennsylvania Commonwealth System of Higher Education (PCSHE); Pennsylvania State University; Pennsylvania State University - University Park; University of Hawaii System; University of Hawaii Manoa; Columbia University</t>
  </si>
  <si>
    <t>CUNY Queens Coll, Sch Earth &amp; Environm Sci, 65-30 Kissena Blvd, Flushing, NY 11367 USA.</t>
  </si>
  <si>
    <t>stephen_pekar@qc.edu; audreyh@alumni.rice.edu; mfu3961215@aol.com; sfl34@columbia.edu</t>
  </si>
  <si>
    <t>Sawyer, Audrey/W-3729-2017</t>
  </si>
  <si>
    <t>Sawyer, Audrey/0000-0001-8174-0542</t>
  </si>
  <si>
    <t>JUL-AUG</t>
  </si>
  <si>
    <t>10.1130/B25486.1</t>
  </si>
  <si>
    <t>938HS</t>
  </si>
  <si>
    <t>WOS:000229991100017</t>
  </si>
  <si>
    <t>Luk'yanova, RY</t>
  </si>
  <si>
    <t>Asymmetric distribution of the electric potential in the ionosphere of the opposite hemispheres</t>
  </si>
  <si>
    <t>CURRENTS; MODEL</t>
  </si>
  <si>
    <t>Using the numerical model of the global potential distribution, the convection patterns in the Northern and Southern hemispheres have been calculated for the conditions of the December solstice at different relationships of the IMF B-z and B-y components. The field-aligned current (FAC) distribution corresponding to the season in either hemisphere and to the IMF orientation has been specified as a source. The two-cell convection system and strong asymmetry, controlled by seasonal differences in conductivity and FAC and by the IMF azimuthal component, are realized in the opposite hemispheres. The morning convection cell predominates under winter conditions in all considered variants of IMF orientation, which is especially pronounced at auroral latitudes and is caused by the specific FAC distribution in the dayside region. The potential drop in the winter cap regularly exceeds such a drop in the summer cap.</t>
  </si>
  <si>
    <t>St Petersburg State Univ, Inst Phys Res, St Petersburg 199164, Russia; Russian Acad Sci, Arctic &amp; Antarctic Res Inst, St Petersburg 199397, Russia</t>
  </si>
  <si>
    <t>Saint Petersburg State University; Arctic &amp; Antarctic Research Institute; Russian Academy of Sciences</t>
  </si>
  <si>
    <t>St Petersburg State Univ, Inst Phys Res, Univ Skaya Nab 7-9, St Petersburg 199164, Russia.</t>
  </si>
  <si>
    <t>renata@mail.aari.nw.ru</t>
  </si>
  <si>
    <t>Lukianova, Renata/K-3293-2012</t>
  </si>
  <si>
    <t>Lukianova, Renata/0000-0003-2343-9174</t>
  </si>
  <si>
    <t>957VY</t>
  </si>
  <si>
    <t>WOS:000231402600007</t>
  </si>
  <si>
    <t>Vovk, VY; Egorova, LV</t>
  </si>
  <si>
    <t>Response of meteorological parameters of the antarctic lower atmosphere to variations in the vertical component of the interplanetary magnetic field</t>
  </si>
  <si>
    <t>SOLAR-WIND; TEMPERATURE; CIRCULATION</t>
  </si>
  <si>
    <t>Considerable variations in the air temperature and wind direction and velocity associated with variations in the interplanetary magnetic field (IMF) are revealed based on an analysis of the meteorological and aerological data obtained at Vostok, South Pole, Kupol S, Leningradskaya, Mirny, and Russkaya stations in the period from 1970 through 1999. Warming and cooling were observed on the ground level at a decrease (B-z &lt; -3) and increase (B-z &gt; 2.5) in the IMF vertical component, respectively. The changes in the wind direction from 260 degrees to 190 degrees at Vostok continental station, from 160 degrees to 290 degrees at Leningradskaya coastal station, and from 130 degrees to 200 degrees at Russkaya coastal station were observed one-two days after an increase in the amplitude of the B, negative values. The changes in the wind velocity profile were revealed during considerable variations in the IMF B-z component at Vostok station. Thus, the wind velocity on the key day (19 m/s) became higher than on the previous day (12 m/s) at a height of 7-10 km for negative B-z values. At the same time, for positive B, values, the wind velocity decreases a day after the key day. It has been indicated that wind direction changes depending on the B-z component not only in the years close to a solar activity maximum (1981, 1982) but also in the years of activity minimum (1985-1987), when the number of solar flares and Forbush decreases of galactic cosmic rays is insignificant.</t>
  </si>
  <si>
    <t>Russian Acad Sci, Arctic &amp; Antarctic Res Inst, St Petersburg 199397, Russia</t>
  </si>
  <si>
    <t>Arctic &amp; Antarctic Research Institute; Russian Academy of Sciences</t>
  </si>
  <si>
    <t>Vovk, VY (corresponding author), Russian Acad Sci, Arctic &amp; Antarctic Res Inst, Ul Beringa 38, St Petersburg 199397, Russia.</t>
  </si>
  <si>
    <t>WOS:000231402600014</t>
  </si>
  <si>
    <t>Robinson, S; Chiaradia, A; Hindell, MA</t>
  </si>
  <si>
    <t>The effect of body condition on the timing and success of breeding in Little Penguins Eudyptula minor</t>
  </si>
  <si>
    <t>PHILLIP-ISLAND; POPULATION; VICTORIA; SIZE</t>
  </si>
  <si>
    <t>We studied the effect of parental body condition on the breeding biology of Little Penguins Eudyptula minor. Daily attendance patterns and body mass were recorded using an Automated Penguin Monitoring System, which collected arrival and departure masses for approximately 200 breeding birds over the 2000 and 2001 breeding seasons. Breeding success varied between the two years; 2000 was a year of average breeding success (fledging 1.07 chicks per pair), and 2001 a year of poor breeding success (fledging 0.53 chicks per pair). In both years, adult body condition (body mass divided by flipper length) increased significantly prior to laying. The laying period began over a month later in 2000 than in 2001, and birds in 2000 exhibited significantly better body condition at laying. However, the mean laying dates in 2000 were less variable than in the 2001 breeding season. Body condition appeared to influence both the time of breeding and breeding synchrony in Little Penguins. Breeding success was correlated with adult body condition at incubation in 2000 but not in 2001, indicating that success was not solely influenced by adult body condition at incubation.</t>
  </si>
  <si>
    <t>Univ Tasmania, Sch Zool, Antarctic Wildlife Res Unit, Hobart, Tas 7001, Australia; Phillip Isl Nat Pk, Cowes, Vic 3922, Australia</t>
  </si>
  <si>
    <t>Sarah.Robinson@aad.gov.au</t>
  </si>
  <si>
    <t>Hindell, Mark A/K-1131-2013; Chiaradia, Andre/AFK-6634-2022; Hindell, Mark A/C-8368-2013; Chiaradia, Andre/AAG-4928-2022</t>
  </si>
  <si>
    <t>Chiaradia, Andre/0000-0002-6178-4211; Chiaradia, Andre/0000-0002-6178-4211; Hindell, Mark/0000-0002-7823-7185</t>
  </si>
  <si>
    <t>1474-919X</t>
  </si>
  <si>
    <t>10.1111/j.1474-919x.2005.00431.x</t>
  </si>
  <si>
    <t>942OQ</t>
  </si>
  <si>
    <t>WOS:000230292100005</t>
  </si>
  <si>
    <t>Bowman, JP; Nichols, DS</t>
  </si>
  <si>
    <t>Novel members of the family Flavobacteriaceae from Antarctic maritime habitats including Subsaximicrobium wynnwilliamsii gen. nov., sp nov., Subsaximicrobium saxinquililnus sp nov., Subsaxibacter broadyi gen. nov., sp nov., Lacinutrix copepodicola gen. nov., sp nov., and novel species of the genera Bizionia, Gelidibacter and Gillisia</t>
  </si>
  <si>
    <t>SEA-ICE; MARINE BACTERIUM; COMB. NOV; PSYCHROPHILIC BACTERIA; EMENDED DESCRIPTION; ALGAE; RECLASSIFICATION; DIVERSITY; BIOGEOGRAPHY; COMMUNITIES</t>
  </si>
  <si>
    <t>Several orange- and yellow-pigmented, halophilic, strictly aerobic, chemoheterotrophic, Gram-negative strains were isolated during investigations of maritime Antarctic habitats, including coastal fast sea-ice brine and algae, crustaceans and quartz stone sublithic cyanobacterial biofilms. Isolates investigated in this study belonged to the marine clade of the family Flavobacteriaceae and represented lineages that were either distinct from species with validly published names or appeared to be distinct species within existing genera. A polyphasic taxonomic analysis demonstrated the novelty of these strains, and several new taxa are proposed. Strains from quartz stone sublithic communities were grouped into two new genera designated Subsaximicrobium gen. nov. and Subsaxibacter gen. nov. The genus Subsaximicrobium included the species Subsaximicrobium wynnwilliamsii sp. nov. (type species; type strain G#7(T)=ACAM 1070(T)=CIP 108525(T)) and Subsaximicrobium saxinquilinus sp. nov. (type strain Y4-5(T)=ACAM 1063(T)=CIP 108526(T)). The genus Subsaxibacter contained a single species designated Subsaxibacter broadyi sp. nov. (type strain P7(T)=ACAM 1064(T)=CIP 108527(T)). A novel bacterial strain isolated from the lake-dwelling, calanoid copepod Paralabidocera antarctica was given the name Lacinutrix copepodicola gen. nov., sp. nov. (type strain DJ3(T)=ACAM 1055(T)=CIP 108538(T)). Four novel species of the genus Bizionia were discovered, Bizionia algoritergicola sp. nov. (type strain APA-1(T)=ACAM 1056(T)=CIP 108533(T)) and Bizionia myxarmorum sp. nov. (type strain ADA-4(T)=ACAM 1058(T)=CIP 108535(T)), which were isolated from the carapace surfaces of sea-ice algae-feeding amphipods, and Bizionia gelidisalsuginis sp. nov. (type strain IC164(T)=ACAM 1057(T)=CIP 108536(T)) and Bizionia saleffrena sp. nov. (type strain HFDT=ACAM 1059(T)=CIP 108534(T)), which were isolated from sea-ice brines. Several other novel species were also isolated from sea-ice samples, including two novel species of the genus Gelidibacter, Gelidibacter gilvus sp. nov. (type strain IC158(T)=ACAM 1054(T)=CIP 108531(T)) and Gelidibacter salicanalis sp. nov. (type strain IC162(T)=ACAM 1053(T)=CIP 108532(T)), as well as three novel species of the genus Gillisia, Gillisia illustrilutea sp. nov. (type strain IC157(T)=ACAM 1062(T)=CIP 108530(T)), Gillisia sandarakina sp. nov. (type strain IC148(T)=ACAM 1060(T)=CIP 108529(T)) and Gillisia hiemivivida sp. nov. (type strain IC154(T)=ACAM 106(T)=CIP 108528(T)).</t>
  </si>
  <si>
    <t>Bowman, John P/0000-0002-4528-9333; Bowman, John P./0000-0002-4528-9333; Nichols, David/0000-0002-8066-3132</t>
  </si>
  <si>
    <t>10.1099/ijs.0.63527-0</t>
  </si>
  <si>
    <t>949ZU</t>
  </si>
  <si>
    <t>WOS:000230828200012</t>
  </si>
  <si>
    <t>Gabis, IP; Troshichev, OA</t>
  </si>
  <si>
    <t>Seasonal regularities in the quasi-biennial oscillation of the equatorial stratospheric zonal wind</t>
  </si>
  <si>
    <t>SOLAR ULTRAVIOLET VARIATIONS; TOTAL OZONE; TEMPERATURE; CYCLE; QBO; ATMOSPHERE; HEIGHT; REGION; WINTER</t>
  </si>
  <si>
    <t>The behavior of the stratospheric zonal wind is analyzed using equatorial station measurements over the period 1953-2003. Variations in vertical profiles of wind are examined. It is shown that the wind-direction reversal with a quasi-biennial period has no seasonal regularities, whereas the quasi-biennial oscillation in the wind-speed profile is associated with the season. Profiles with easterly winds in the middle stratosphere (at 10-30 hPa) and with westerly winds in the lower stratosphere (30-70 hPa) are always established by the solstice, while wind-speed disturbances leading to a wind reversal from westerlies to easterlies in the lower stratosphere always be-in in an equinox season. The results suggest that the 24-month period is basic in the quasi-biennial cycle of the equatorial stratospheric zonal wind. In some cycles, no wind-speed disturbances develop at certain stages, which leads to longer cycles with a length of 30 or sometimes 36 months.</t>
  </si>
  <si>
    <t>Gabis, IP (corresponding author), Arctic &amp; Antarctic Res Inst, Ul Beringa 38, St Petersburg 199397, Russia.</t>
  </si>
  <si>
    <t>gabis@aari.nw.ru; olegtro@aari.nw.ru</t>
  </si>
  <si>
    <t>955VN</t>
  </si>
  <si>
    <t>WOS:000231255800003</t>
  </si>
  <si>
    <t>Sims, DW; Southall, EJ; Tarling, GA; Metcalfe, JD</t>
  </si>
  <si>
    <t>Habitat-specific normal and reverse diel vertical migration in the plankton-feeding basking shark</t>
  </si>
  <si>
    <t>archival telemetry; behaviour; conservation; shark; zooplankton</t>
  </si>
  <si>
    <t>FORAGING BEHAVIOR; ZOOPLANKTON; PREDATION; SEA; WINTER</t>
  </si>
  <si>
    <t>1. Megaplanktivores such as filter-feeding sharks and baleen whales are at the apex of a short food chain (phytoplankton-zooplankton-vertebrate) and are sensitive indicators of sea-surface plankton availability. Even though they spend the majority of their time below the surface it is still not known how most of these species utilize vertical habitat and adapt to short-term changes in food availability. 2. A key factor likely to control vertical habitat selection by planktivorous sharks is the diel vertical migration (DVM) of zooplankton; however, no study has determined whether specific ocean-habitat type influences their behavioural strategy. Based on the first high-resolution dive data collected for a plankton-feeding fish species we show that DVM patterns of the basking shark Cetorhinus maximus reflect habitat type and zooplankton behaviour. 3. In deep, well-stratified waters sharks exhibited normal DVM (dusk ascent-dawn descent) by tracking migrating sound-scattering layers characterized by Calanus and euphausiids. Sharks occupying shallow, inner-shelf areas near thermal fronts conducted reverse DVM (dusk descent-dawn ascent) possibly due to zooplankton predator-prey interactions that resulted in reverse DVM of Calanus. 4. These opposite DVM patterns resulted in the probability of daytime-surface sighting differing between these habitats by as much as two orders of magnitude. Ship-borne surveys undertaken at the same time as trackings reflected these behavioural differences. 5. The tendency of basking sharks to feed or rest for long periods at the surface has made them vulnerable to harpoon fisheries. Ship-borne and aerial surveys also use surface occurrence to assess distribution and abundance for conservation purposes. Our study indicates that without bias reduction for habitat-specific DVM patterns, current surveys could under- or overestimate shark abundance by at least 10-fold.</t>
  </si>
  <si>
    <t>Marine Biol Assoc United Kingdom Lab, Plymouth PL1 2PB, Devon, England; Dunstaffnage Marine Lab, Scottish Assoc Marine Sci, Oban PA37 1QA, Argyll, Scotland; British Antarctic Survey, NERC, Cambridge CB3 OET, England; Ctr Environm Fisheries &amp; Aquaculture Sci, Lowestoft Lab, Lowestoft NR33 0HT, Suffolk, England</t>
  </si>
  <si>
    <t>Marine Biological Association United Kingdom; UHI Millennium Institute; UK Research &amp; Innovation (UKRI); Natural Environment Research Council (NERC); NERC British Antarctic Survey; Centre for Environment Fisheries &amp; Aquaculture Science</t>
  </si>
  <si>
    <t>Sims, DW (corresponding author), Marine Biol Assoc United Kingdom Lab, Citadell Hill, Plymouth PL1 2PB, Devon, England.</t>
  </si>
  <si>
    <t>dws@mba.ac.uk</t>
  </si>
  <si>
    <t>SOUTHALL, EMILY J/AGP-5395-2022</t>
  </si>
  <si>
    <t>SOUTHALL, EMILY J/0000-0001-7246-278X</t>
  </si>
  <si>
    <t>10.1111/j.1365-2656.2005.00971.x</t>
  </si>
  <si>
    <t>946VQ</t>
  </si>
  <si>
    <t>WOS:000230601800020</t>
  </si>
  <si>
    <t>Fyler, CA; Reeder, TW; Berta, A; Antonelis, G; Aguilar, A; Androukaki, E</t>
  </si>
  <si>
    <t>Historical biogeography and phylogeny of monachine seals (Pinnipedia: Phocidae) based on mitochondrial and nuclear DNA data</t>
  </si>
  <si>
    <t>historical biogeography; mixed model; molecular divergence estimates; Monachinae; nonparametric rate smoothing; partitioned Bayesian inference; phylogeny; Pinnipedia; seal biogeography</t>
  </si>
  <si>
    <t>BAYESIAN-INFERENCE; MONK SEAL; LIKELIHOOD; INFORMATION; CONFIDENCE; PARSIMONY; SEQUENCES; TREES; RATES</t>
  </si>
  <si>
    <t>Aim To determine the origin and diversification of monachine seals using a phylogenetic framework. Methods Molecular sequence data from three mitochondrial genes (cyt b, ND1 and 12S), and one nuclear marker (an intron from the alpha-lactalbumin gene) were examined from all extant species of monachine seals. Maximum likelihood and partitioned Bayesian inference were used to analyse separate and combined (mitochondrial + nuclear) data sets. Divergence times were estimated from the resultant phylogeny using nonparametric rate smoothing as implemented by the program r8s. Results Mirounga, Monachus and the Lobodontini form three well-supported clades within a monophyletic Monachinae. Lobodontini + Mirounga form a clade sister to Monachus. Molecular divergence dates indicate that the first split within the Monachinae (Lobodontini + Mirounga clade and Monachus) occurred between 11.8 and 13.8 Ma and Mirounga, Monachus and the Lobodontini originated 2.7-3.4, 9.1-10.8 and 10.0-11.6 Ma, respectively. Main conclusions Two main clades exist within Monachinae, Monachus and Lobodontini + Mirounga. Monachus, a warm water clade, originated in the North Atlantic and maintained the temperate water affinities of their ancestors as they diversified in the subtropic regions of the Northern Hemisphere. The cold-water clade, Lobodontini + Mirounga, dispersed southward to the cooler climates of the Southern Hemisphere. The Lobodontini continued south until reaching the Antarctic region where they diversified into the present-day fauna. Mirounga shows an anti-tropical distribution either reflective of a once cosmopolitan range that was separated by warming waters in the tropics or of transequatorial dispersal.</t>
  </si>
  <si>
    <t>San Diego State Univ, Dept Biol, San Diego, CA 92182 USA; Natl Marine Fisheries Serv, Honolulu Lab, Honolulu, HI USA; Univ Barcelona, Dept Anim Biol, Barcelona, Spain; MOm Hellen Soc Study &amp; Protect Monk Seal, Athens, Greece</t>
  </si>
  <si>
    <t>California State University System; San Diego State University; National Aeronautics &amp; Space Administration (NASA); National Oceanic Atmospheric Admin (NOAA) - USA; University of Barcelona</t>
  </si>
  <si>
    <t>Univ Connecticut, Dept Ecol &amp; Evolutionary Biol, 75 N Eagleville Rd U-3043, Storrs, CT 06269 USA.</t>
  </si>
  <si>
    <t>caroline.fyler@uconn.edu</t>
  </si>
  <si>
    <t>Aguilar, Alex/L-1283-2014; Vivia, Ariel/JAO-4693-2023</t>
  </si>
  <si>
    <t>Aguilar, Alex/0000-0002-5751-2512;</t>
  </si>
  <si>
    <t>10.1111/j.1365-2699.2005.01281.x</t>
  </si>
  <si>
    <t>934JU</t>
  </si>
  <si>
    <t>WOS:000229705900013</t>
  </si>
  <si>
    <t>Howard, WA</t>
  </si>
  <si>
    <t>The relationship between balancing reactions and reaction lifetimes: A consideration of the potassium-argon radiometric method for dating minerals</t>
  </si>
  <si>
    <t>JOURNAL OF CHEMICAL EDUCATION</t>
  </si>
  <si>
    <t>ANTARCTIC MARTIAN METEORITES; AROMATIC-HYDROCARBONS PAHS; CARBONACEOUS CHONDRITES; ORIGIN; MASS; BOND</t>
  </si>
  <si>
    <t>Univ Alaska Fairbanks, Dept Chem &amp; Biochem, Fairbanks, AK 99775 USA</t>
  </si>
  <si>
    <t>Univ Alaska Fairbanks, Dept Chem &amp; Biochem, Fairbanks, AK 99775 USA.</t>
  </si>
  <si>
    <t>ffwah@uaf.edu</t>
  </si>
  <si>
    <t>0021-9584</t>
  </si>
  <si>
    <t>1938-1328</t>
  </si>
  <si>
    <t>J CHEM EDUC</t>
  </si>
  <si>
    <t>J. Chem. Educ.</t>
  </si>
  <si>
    <t>10.1021/ed082p1094</t>
  </si>
  <si>
    <t>Chemistry, Multidisciplinary; Education, Scientific Disciplines</t>
  </si>
  <si>
    <t>Chemistry; Education &amp; Educational Research</t>
  </si>
  <si>
    <t>935IE</t>
  </si>
  <si>
    <t>WOS:000229773400040</t>
  </si>
  <si>
    <t>Verbitsky, M</t>
  </si>
  <si>
    <t>Siple Coast ice streams in a general Antarctic ice sheet model</t>
  </si>
  <si>
    <t>GLACIATION</t>
  </si>
  <si>
    <t>In an earlier paper by Verbitsky and Saltzman, a vertically integrated, high-resolution, nonlinearly viscous, nonisothermal ice sheet model was presented to calculate the present-day equilibrium regime of the Antarctic ice sheet. Steady-state solutions for the ice topography and thermodynamics, represented by the extent of the areas of basal melting, were shown to be in good agreement with both observations and results obtained from other three-dimensional thermodynamical equations. The solution for the basal temperature field of the West Antarctic Siple Coast produced areas at the pressure melting point separated by strips of frozen-to-bed ice, the structure of which looks very similar to ice streams A-E. Since the possible response of the Siple Coast basal temperature pattern to global warming and to associated changes in the snowfall rate is not obvious, a special sensitivity study was conducted. Results of such a study suggest that increased precipitation rate and associated intensification of ice advection can effectively shut down West Antarctic ice streams.</t>
  </si>
  <si>
    <t>GEN3 Partners, Boston, MA USA</t>
  </si>
  <si>
    <t>Verbitsky, M (corresponding author), 2003 Cent St, Stoughton, MA 02702 USA.</t>
  </si>
  <si>
    <t>mikhail_verbitsky@yahoo.com</t>
  </si>
  <si>
    <t>10.1175/JCLI3385.1</t>
  </si>
  <si>
    <t>950XN</t>
  </si>
  <si>
    <t>WOS:000230892100004</t>
  </si>
  <si>
    <t>Xu, KD; Foissner, W</t>
  </si>
  <si>
    <t>Descriptions of Protospathidium serpens (Kahl, 1930) and P-fraterculum n. sp (Ciliophora, Haptoria), two species based on different resting cyst morphology</t>
  </si>
  <si>
    <t>JOURNAL OF EUKARYOTIC MICROBIOLOGY</t>
  </si>
  <si>
    <t>biodiversity; biogeography; neotypification; soil ciliates; taxonomy</t>
  </si>
  <si>
    <t>SOIL CILIATES PROTOZOA; COMPILATION; RECORDS; MOSS</t>
  </si>
  <si>
    <t>Protospathidium serpens (Kahl, 1930) is frequent in semiterrestrial and terrestrial habitats worldwide. Conventionally, all populations are considered as conspecific because they have very similar overall morphologies and morphometrics. We studied in detail not only the morphology of the vegetative cells but also the resting cysts using live observation, protargol impregnation, and scanning electron microscopy. These revealed a cryptic diversity and biogeographic pattern in details of the dorsal brush and cyst wall morphology. The cyst wall is spiny in the Austrian specimens, while smooth in the South African and Antarctic populations. Accordingly, P. serpens consists of at least two species: P. serpens (with spiny cyst wall) and P. fraterculum n. sp. (with smooth cyst wall); the latter is probably composed of two distinct taxa differing by the absence (South African)/presence (Antarctic) of a monokinetidal bristle tail in brush row 3, the number of dikinetids comprising brush row 1 (seven versus three), and the total number of brush dikinetids (29 versus 17). Protospathidium serpens is neotypitied with the new population from Austria. The significance of resting cyst morphology is discussed with respect to alpha-taxonomy and overall ciliate diversity.</t>
  </si>
  <si>
    <t>Salzburg Univ, FB Organ Biol, A-5020 Salzburg, Austria; Chinese Acad Sci, Inst Oceanol, Qingdao, Peoples R China</t>
  </si>
  <si>
    <t>Salzburg University; Chinese Academy of Sciences; Institute of Oceanology, CAS</t>
  </si>
  <si>
    <t>Foissner, W (corresponding author), Salzburg Univ, FB Organ Biol, Hellbrunnerstr 34, A-5020 Salzburg, Austria.</t>
  </si>
  <si>
    <t>Birgit.Peukert@sbg.ac.at</t>
  </si>
  <si>
    <t>1066-5234</t>
  </si>
  <si>
    <t>1550-7408</t>
  </si>
  <si>
    <t>J EUKARYOT MICROBIOL</t>
  </si>
  <si>
    <t>J. Eukaryot. Microbiol.</t>
  </si>
  <si>
    <t>10.1111/j.1550-7408.2005.00046.x</t>
  </si>
  <si>
    <t>951PE</t>
  </si>
  <si>
    <t>WOS:000230942000002</t>
  </si>
  <si>
    <t>Green, JA; Boyd, IL; Woakes, AJ; Green, CJ; Butler, PJ</t>
  </si>
  <si>
    <t>Do seasonal changes in metabolic rate facilitate changes in diving behaviour?</t>
  </si>
  <si>
    <t>macaroni penguin; Eudyptes chrysolophus; diving; seasonal change; oxygen consumption; thermoregulation; cADL</t>
  </si>
  <si>
    <t>PENGUINS EUDYPTES-CHRYSOLOPHUS; OXYGEN STORAGE CAPACITY; DUCK AYTHYA-FULIGULA; MACARONI PENGUINS; SOUTH GEORGIA; HEART-RATE; THERMAL CONDUCTANCE; BODY-TEMPERATURE; EMPEROR PENGUINS; ANTARCTIC KRILL</t>
  </si>
  <si>
    <t>Macaroni penguins were implanted with data loggers to record heart rate (f(H)), abdominal temperature (T-ab) and diving depth during their pre-moult trip (summer) and winter migration. The penguins showed substantial differences in diving behaviour between the seasons. During winter, mean and maximum dive duration and dive depth were significantly greater than during summer, but the proportion of dives within the calculated aerobic dive limit (cADL) did not change. Rates of oxygen consumption were estimated from f(H). As winter progressed, the rate of oxygen consumption during dive cycles (s(V)over dot(O2DC)) declined significantly and mirrored the pattern of increase in maximum duration and depth. The decline in s(V)over dot(O2DC) was matched by a decline in minimum rate of oxygen consumption (s(V)over dot(O2min)). When s(V)over dot(O2min) was subtracted from S(V)over dot(O2DC), the net cost of diving was unchanged between summer and winter. We suggest that the increased diving capacity demonstrated during the winter was facilitated by the decrease in s(V)over dot(O2min). Abdominal temperature declined during winter but this was not sufficient to explain the decline in s(V)over dot(O2min). A simple model of the interactions between s(V)over dot(O2min), thermal conductance and water temperature shows how a change in the distribution of fat stores and therefore a change in insulation and/or a difference in foraging location during winter could account for the observed reduction in s(V)over dot(O2min) and hence s(V)over dot(O2DC).</t>
  </si>
  <si>
    <t>Univ Birmingham, Sch Biosci, Birmingham B15 2TT, W Midlands, England; Univ St Andrews, Gatty Marine Lab, Sea Mammal Res Unit, St Andrews KY16 8LB, Fife, Scotland; British Antarctic Survey, Cambridge CB3 0ET, England</t>
  </si>
  <si>
    <t>University of Birmingham; University of St Andrews; UK Research &amp; Innovation (UKRI); Natural Environment Research Council (NERC); NERC British Antarctic Survey</t>
  </si>
  <si>
    <t>Univ Birmingham, Sch Biosci, Birmingham B15 2TT, W Midlands, England.</t>
  </si>
  <si>
    <t>j.a.green@bham.ac.uk</t>
  </si>
  <si>
    <t>Green, Jonathan A/B-8799-2011; Woakes, Anthony/JYD-0387-2024</t>
  </si>
  <si>
    <t>Green, Jonathan A/0000-0001-8692-0163;</t>
  </si>
  <si>
    <t>10.1242/jeb.01679</t>
  </si>
  <si>
    <t>953DD</t>
  </si>
  <si>
    <t>WOS:000231055500022</t>
  </si>
  <si>
    <t>Deagle, BE; Jarman, SN; Pemberton, D; Gales, NJ</t>
  </si>
  <si>
    <t>Genetic screening for prey in the gut contents from a giant squid (Architeuthis sp.)</t>
  </si>
  <si>
    <t>JOURNAL OF HEREDITY</t>
  </si>
  <si>
    <t>POLYMERASE-CHAIN-REACTION; STOMACH CONTENTS; MOLECULAR-IDENTIFICATION; MOROTEUTHIS-INGENS; DNA; DIET; CEPHALOPODA; OMMASTREPHIDAE; ISLANDS</t>
  </si>
  <si>
    <t>Giant squids (Architeuthis sp.) remain mysterious; they have evaded observation and are rarely taken from their deep sea habitat. Information on the diet of Architeuthis is scarce due to the limited number of specimens with morphologically recognizable remains in their digestive tracts. We explored the use of polymerase chain reaction (PCR)-based methods for detection of DNA in the prey remains and amorphous slurry from an Architeuthis gut sample. The DNA region amplified varied in size, allowing separation of fish and squid components. Sequence comparisons identified fish prey as Macruronus novaezelandiae. Isolation of Architeuthis DNA from an ingested tentacle and the presence of chitin fragments indicate cannibalism occurs in giant squid. Denaturing gradient gel electrophoresis was used to screen for less common DNA types, revealing a high frequency of PCR-generated false alleles, but no additional prey species.</t>
  </si>
  <si>
    <t>Univ Tasmania, Dept Zool, Hobart, Tas 7001, Australia; Australian Antarctic Div, Kingston, Tas 7050, Australia; Tasmanian Museum &amp; Art Gallery, Hobart, Tas 7001, Australia</t>
  </si>
  <si>
    <t>Univ Tasmania, Dept Zool, GPO Box 252-05, Hobart, Tas 7001, Australia.</t>
  </si>
  <si>
    <t>bedeagle@utas.edu.au</t>
  </si>
  <si>
    <t>Deagle, Bruce E/R-2999-2019; Deagle, Bruce E/A-9854-2008; Jarman, Simon/H-9265-2016</t>
  </si>
  <si>
    <t>Deagle, Bruce E/0000-0001-7651-3687; Jarman, Simon/0000-0002-0792-9686</t>
  </si>
  <si>
    <t>0022-1503</t>
  </si>
  <si>
    <t>1465-7333</t>
  </si>
  <si>
    <t>J HERED</t>
  </si>
  <si>
    <t>J. Hered.</t>
  </si>
  <si>
    <t>10.1093/jhered/esi036</t>
  </si>
  <si>
    <t>Evolutionary Biology; Genetics &amp; Heredity</t>
  </si>
  <si>
    <t>950HA</t>
  </si>
  <si>
    <t>WOS:000230847000017</t>
  </si>
  <si>
    <t>Klok, CJ; Chown, SL</t>
  </si>
  <si>
    <t>Temperature- and body mass-related variation in cyclic gas exchange characteristics and metabolic rate of seven weevil species: Broader implications</t>
  </si>
  <si>
    <t>curculionidae; cyclic gas exchange; respirometry; scaling; sub-Antarctic</t>
  </si>
  <si>
    <t>CARBON-DIOXIDE RELEASE; RESPIRATORY WATER-LOSS; DISCONTINUOUS RESPIRATION; CO2 RELEASE; TENEBRIONID BEETLES; COLD ADAPTATION; TRACHEAL SYSTEM; OXYGEN-UPTAKE; DUNG BEETLES; HABITAT USE</t>
  </si>
  <si>
    <t>The influence of temperature on metabolic rate and characteristics of the gas exchange patterns of flightless, sub-Antarctic Ectemnorhinus-group species from Heard and Marion islands was investigated. All of the species showed cyclic gas exchange with no Flutter period, indicating that these species are not characterized by discontinuous gas exchange cycles. Metabolic rate estimates were substantially lower in this study than in a previous one of a subset of the species, demonstrating that open-system respirometry methods provide more representative estimates of standard metabolic rate than do many closed-system methods. We recommend that the latter, and especially constant-pressure methods, either be abandoned for estimates of standard metabolic rate in insects, or have their outputs subject to careful scrutiny, given the wide availability of the former. VCO2 increase with an increase in temperature (range: 0-15 degrees C) was modulated by an increase in cycle frequency, but typically not by an increase in burst volume. Previous investigations of temperature-related changes in cyclic gas exchange (both cyclic and discontinuous) in several other insect species were therefore substantiated. Interspecific mass-scaling of metabolic rate (ca. 0.466-0.573, excluding and including phylogenetic non-independence, respectively) produced an exponent lower than 0.75 (but not distinguishable from it or from 0.67). The increase of metabolic rate with mass was modulated by an increase in burst volume and not by a change in cycle frequency, in keeping with investigations of species showing discontinuous gas exchange. These findings are discussed in the context of the emerging macrophysiological metabolic theory of ecology. (c) 2005 Elsevier Ltd. All rights reserved.</t>
  </si>
  <si>
    <t>Univ Stellenbosch, Dept Bot &amp; Zool, DST Ctr Excellence Invas Biol, Spatial Physiol &amp; Conservat Ecol Grp, ZA-7602 Matieland, South Africa</t>
  </si>
  <si>
    <t>Stellenbosch University; National Research Foundation - South Africa</t>
  </si>
  <si>
    <t>Univ Stellenbosch, Dept Bot &amp; Zool, DST Ctr Excellence Invas Biol, Spatial Physiol &amp; Conservat Ecol Grp, Private Bag 11, ZA-7602 Matieland, South Africa.</t>
  </si>
  <si>
    <t>10.1016/j.jinsphys.2005.03.007</t>
  </si>
  <si>
    <t>962FW</t>
  </si>
  <si>
    <t>WOS:000231717400006</t>
  </si>
  <si>
    <t>Wong, APS</t>
  </si>
  <si>
    <t>Subantarctic Mode Water and Antarctic Intermediate Water in the South Indian Ocean based on profiling float data 2000-2004</t>
  </si>
  <si>
    <t>HYDROGRAPHIC SECTION; DECADAL CHANGES; CIRCULATION; THERMOCLINE; DISTRIBUTIONS</t>
  </si>
  <si>
    <t>Autonomous CTD profiling float data from Argo between 2000 and 2004 have been used to study the properties of Subantarctic Mode Water (SAMW) and Antarctic Intermediate Water (AAIW) in relation to local winter mixed layer properties and frontal regimes in the South Indian Ocean. By calculating noise variance at the tightest part of the theta-S curve, the accuracy of salinity in the selected Argo data set has been estimated to be better than 0.01 psu. The basin-wide and seasonally unbiased sampling of the float array shows that South Indian Ocean SAMW is more continuous in geographical and density space than previously observed. Its density and thickness distributions are related to the winter mixed layer properties in the local Subantarctic Zone, with progressively denser and thicker SAMW to the east. The salinity minimum associated with South Indian Ocean AAIW was centered on sigma(theta) = 27.2 kg m(-3). As observed by previous hydrographic surveys, fresh AAIW is injected northward into the subtropical gyre in mid-basin, at about 65-85E. Argo profiles show that this northward flow extends to the northern extent of the study region at 15S. In the latitude band 30-40S and east of 55E, meridional salinity gradient on density surfaces in AAIW is the smallest in the South Indian Ocean. Hence that location is the best place in the South Indian Ocean to detect integrated decadal changes in the salinity minimum of AAIW.</t>
  </si>
  <si>
    <t>Univ Hawaii, JIMAR, SOEST, Honolulu, HI 96822 USA</t>
  </si>
  <si>
    <t>University of Hawaii System</t>
  </si>
  <si>
    <t>Wong, APS (corresponding author), Univ Washington, Sch Oceanog, Seattle, WA 98195 USA.</t>
  </si>
  <si>
    <t>awong@ocean.washington.edu</t>
  </si>
  <si>
    <t>10.1357/0022240054663196</t>
  </si>
  <si>
    <t>956TO</t>
  </si>
  <si>
    <t>WOS:000231322900006</t>
  </si>
  <si>
    <t>Mellado, GG; Zubía, E; Ortega, MJ; López-González, PJ</t>
  </si>
  <si>
    <t>Steroids from the antarctic octocoral Anthomastus bathyproctus</t>
  </si>
  <si>
    <t>JOURNAL OF NATURAL PRODUCTS</t>
  </si>
  <si>
    <t>CORAL ALCYONIUM-PAESSLERI; MARINE NATURAL-PRODUCTS; DASYSTENELLA-ACANTHINA; SESQUITERPENOIDS</t>
  </si>
  <si>
    <t>Seven new steroids, compounds 1-7, were isolated from the Antarctic octocoral Anthornastus bathyproctus. The structures of the new metabolites have been established by analysis of their spectroscopic data. The in vitro cytotoxicity has been tested against three human tumor cell lines.</t>
  </si>
  <si>
    <t>Univ Cadiz, Fac Ciencias Mar &amp; Ambientales, Dept Quim Organ, E-11510 Puerto Real, Cadiz, Spain; Univ Sevilla, Fac Biol, Dept Fisiol &amp; Zool, E-41012 Seville, Spain</t>
  </si>
  <si>
    <t>Universidad de Cadiz; University of Sevilla</t>
  </si>
  <si>
    <t>Univ Cadiz, Fac Ciencias Mar &amp; Ambientales, Dept Quim Organ, Aptdo 40, E-11510 Puerto Real, Cadiz, Spain.</t>
  </si>
  <si>
    <t>eva.zubia@uca.es</t>
  </si>
  <si>
    <t>Zubía, Eva/AAT-8665-2020; Ortega, María J./AAS-8650-2020; Lopez-González, Pablo J./Y-6440-2018</t>
  </si>
  <si>
    <t>Zubía, Eva/0000-0002-3254-6767; Lopez-González, Pablo J./0000-0002-7348-6270; Ortega Aguera, Maria Jesus/0000-0002-4229-8832</t>
  </si>
  <si>
    <t>0163-3864</t>
  </si>
  <si>
    <t>1520-6025</t>
  </si>
  <si>
    <t>J NAT PROD</t>
  </si>
  <si>
    <t>J. Nat. Prod.</t>
  </si>
  <si>
    <t>10.1021/np050080q</t>
  </si>
  <si>
    <t>Plant Sciences; Chemistry, Medicinal; Pharmacology &amp; Pharmacy</t>
  </si>
  <si>
    <t>Science Citation Index Expanded (SCI-EXPANDED); Index Chemicus (IC)</t>
  </si>
  <si>
    <t>Plant Sciences; Pharmacology &amp; Pharmacy</t>
  </si>
  <si>
    <t>948HN</t>
  </si>
  <si>
    <t>WOS:000230706800030</t>
  </si>
  <si>
    <t>Johnson, JS; Gibson, SA; Thompson, RN; Nowell, GM</t>
  </si>
  <si>
    <t>Volcanism in the Vitim Volcanic Field, Siberia: Geochemical evidence for a mantle plume beneath the Baikal Rift zone</t>
  </si>
  <si>
    <t>Baikal Rift; mafic magmatism; mantle plume; metasomatism; partial melting</t>
  </si>
  <si>
    <t>FERRIC-FERROUS RATIO; PERIDOTITE XENOLITHS; MELTING EXPERIMENTS; PARTITION-COEFFICIENTS; MASS-SPECTROMETRY; DRY PERIDOTITE; HIGH-PRESSURES; GARNET; BASALTS; MAGMAS</t>
  </si>
  <si>
    <t>The Baikal Rift is a zone of active lithospheric extension adjacent to the Siberian Craton. The 6-16 Myr old Vitim Volcanic Field (VVF) lies approximately 2 00 kin east of the rift axis and consists of 5000km(3) of melamphelinites, basanites, alkali and tholeiitic basalts, and minor nephelinites. In the volcanic pile, 142 drill core samples were used to study temporal and spatial variations. Variations in major element abundances (e.g. MgO = 3.3-14.6 wt %) reflect polybaric fractional crystallization of olivine, clinopyroxene and plagioclase. Sr-87/Sr-86(i) (0.703,9-0.7049), Nd-143/Nd-144(i) (0.5127 0.5129) and Hf-176/Hf-177(i) (0-2829-0-2830) ratios are similar to those for ocean island basalts and suggest that the magmas have not assimilated significant amounts of continental crust. Variable degrees of partial melting appear to be responsible for differences in Na2O, P2O5, K2O and incompatible trace element abundances in the most primitive (high-MgO) magmas. Fractionated heavy rare earth element (HREE) ratios (e.g. [Gd/Lu](n) &gt; 2.5) indicate that the parental magmas of the Vitim lavas were predominantly generated within the garnet stability field. Forward major element and REE inversion models suggest that the tholeiitic and alkali basalts were generated by decompression melting of a fertile peridolite source within the convecting mantle beneath Vitim. Ba/Sr ratios and negative Kanomalies in normalized multielement plots suggest that phlogopite was a residual mantle phase during the genesis of the nephelinites and basanites. Relatively high light REE (LREE) abundances in the silica-undersaturated melts require a metasomatically enriched lithospheric mantle source. Results of forward major element modelling suggest that melting of phlogopile-bearing pyroxenite veins could explain the major element composition of these melts. In support of this, pyroxenite xenoliths have been found in the VVF. High Cenozoic mantle potential temperatures (similar to 1450 degrees C) predicted from geochemical modelling suggest the presence of a mantle plume beneath the Baikal Rift Zone.</t>
  </si>
  <si>
    <t>Univ Cambridge, Dept Earth Sci, Cambridge CB2 3EQ, England; Univ Durham, Dept Geol Sci, Durham DH1 3LE, England</t>
  </si>
  <si>
    <t>University of Cambridge; Durham University</t>
  </si>
  <si>
    <t>jsj@bas.ac.uk</t>
  </si>
  <si>
    <t>Gibson, Sally/0000-0002-4835-2908; Johnson, Joanne/0000-0003-4537-4447; Nowell, Geoff/0000-0003-3229-128X</t>
  </si>
  <si>
    <t>10.1093/petrology/egi016</t>
  </si>
  <si>
    <t>943GQ</t>
  </si>
  <si>
    <t>WOS:000230341900001</t>
  </si>
  <si>
    <t>Riley, TR; Leat, PT; Curtis, ML; Millar, IL; Duncan, RA; Fazel, A</t>
  </si>
  <si>
    <t>Early-middle jurassic dolerite dykes from western Dronning Maud Land (Antarctica): Identifying mantle sources in the Karoo large igneous province</t>
  </si>
  <si>
    <t>flood basalt; depleted mantle; enriched mantle; Ahlmannryggen; Karoo dyke</t>
  </si>
  <si>
    <t>FLOOD BASALTS; BREAK-UP; DILATION DIRECTION; CRUSTAL EVOLUTION; CONTINENTAL-CRUST; GIANT OKAVANGO; GEOCHEMISTRY; PETROGENESIS; PLUME; AGE</t>
  </si>
  <si>
    <t>A suite of dolerite dykes from the Ahlmannryggen region of western Dronning Maud Land (Antarctica) forms part of the much more extensive Karoo igneous province of southern Africa. The dyke compositions include both low- and high-Ti magma types, including picrites and ferropicrites. New 40Ar/39Ar age determinations for the Ahlmannryggen intrusions indicate two ages of emplacement at similar to 178 and similar to 190 Ma. Four geochemical groups of dykes have been identified in the Ahlmannrygggen region based on analyses of similar to 60 dykes. ne groups are defined on the basis of whole-rock TiO2 and Zr contents, and reinforced by rare earth element (REE), Sr-87/Sr-86 and Nd-143/Nd-144 isotope data. Group I were intruded at similar to 190Ma and have low TiO2 and Zr contents and a significant Archaean crustal component, but also evidence of hydrothermal alteration. Group 2 dykes were intruded at similar to 178Ma; they have low to moderate TiO2 and Zr contents and are interpreted to be the result of mixing of melts derived from an isotopically depleted source with small melt fractions of an enriched lithospheric mantle source. Group 3 dyke were intruded at similar to 190Ma and form the most distinct magma group; these are largely picritic with superficially mid-ocean ridge basalt (MORB)-like chemistry (flat REE patterns, Sr-87/Sr-86, similar to 0.7035, is an element of Nd-i similar to 9). However, they have very high TiO2 (similar to 4 wt %) and Zr (similar to 500ppm) contents, which is not consistent with melting of MORB-source mantle. The Group 3 magmas are inferred to be derived by partial melting of a strongly depleted mantle source in the garnet stability field. This group includes several high Mg Fe dykes (ferropicrites), which are interpreted as high- temperature melts. Some Group 3 dykes also show evidence of contamination by continental crust. Group 4 dykes are low-K picrites intruded at similar to 178Ma; they have very high TiO2-Zr contents and are the most enriched magma group of the Karoo-Antarctic province, with ocean-island basalt (OIB)-like chemistry. Dykes of Group I and Group 3 are sub-parallel (ENE-WSW) and both groups were emplaced at similar to 190Ma in response to the same regional stress field, which had changed by similar to 178Ma, when Group 2 and Group 4 dykes were intruded along a dominantly NNE-SSW strike.</t>
  </si>
  <si>
    <t>British Antarctic Survey, NERC, Cambridge CB3 0ET, England; NERC, Isotope Geosci Lab, Keyworth NG12 5GG, Notts, England; Oregon State Univ, Coll Ocean &amp; Atmospher Sci, Corvallis, OR 97331 USA; Open Univ, Dept Earth Sci, Milton Keynes MK7 6AA, Bucks, England</t>
  </si>
  <si>
    <t>UK Research &amp; Innovation (UKRI); Natural Environment Research Council (NERC); NERC British Antarctic Survey; UK Research &amp; Innovation (UKRI); Natural Environment Research Council (NERC); NERC British Geological Survey; Oregon State University; Open University - UK</t>
  </si>
  <si>
    <t>t.riley@bas.ac.uk</t>
  </si>
  <si>
    <t>Curtis, Mike/HKV-6176-2023; Duncan, Robert A/A-2168-2013; Millar, Ian L/F-1541-2010</t>
  </si>
  <si>
    <t>Riley, Teal/0000-0002-3333-5021</t>
  </si>
  <si>
    <t>10.1093/petrology/egi023</t>
  </si>
  <si>
    <t>WOS:000230341900007</t>
  </si>
  <si>
    <t>Olbers, D; Visbeck, M</t>
  </si>
  <si>
    <t>A model of the zonally averaged stratification and overturning in the Southern Ocean</t>
  </si>
  <si>
    <t>ANTARCTIC CIRCUMPOLAR CURRENT; GENERALIZED ELIASSEN-PALM; CIRCULATION; VARIABILITY; TRANSPORT; WAVES</t>
  </si>
  <si>
    <t>The ocean area south of the Antarctic Circumpolar Current (ACC) frontal system is a region of major watermass modification. Influx of North Atlantic Deep Water (NADW), small-scale mixing, eddy transport and diffusion, as well as the fluxes of momentum and buoyancy at the sea surface combine in a complex array of processes to generate the unique stratification of the Southern Ocean with its southward uprising isopycnals and northward flux of Antarctic Intermediate Water (AAIW) and Antarctic Bottom Water. Comprehensive analytical models of this scenario are rare. The authors develop and apply a model based on zonally and temporally averaged theory to explain the conversion of NADW into AAIW with all of the aforementioned processes contained in an extremely simplified way. Eddies appear via a transformed Eulerian mean (TEM) approach with a conventional downgradient parameterization of the meridional density flux. The structure of the eddy coefficient is estimated from hydrographic and wind stress data by a simple inverse approach. Mixing is limited to a near-surface layer and is treated in a most simple entrainment form. The model determines the zonal mean density stratification in the Southern Ocean and the baroclinic transport of the ACC from the applied wind stress and the surface density flux and unravels the role and importance of the different processes responsible for shaping the stratification (Ekman and eddy-induced advection and pumping, mixing, surface buoyancy flux, and eddy-induced diffusion). All of these processes must be present to yield an agreement between the simulated stratification and the observed one, but details of their parameterization might not be too critical. The ACC transport is shown to have a contribution forced by the local wind stress as well as another contribution relating to the nonlocal forcing by wind stress and density flux over the entire Antarctic zone.</t>
  </si>
  <si>
    <t>Alfred Wegener Inst Polar &amp; Marine Res, D-27570 Bremerhaven, Germany; Columbia Univ, Lamont Doherty Earth Observ, Palisades, NY USA</t>
  </si>
  <si>
    <t>Helmholtz Association; Alfred Wegener Institute, Helmholtz Centre for Polar &amp; Marine Research; Columbia University</t>
  </si>
  <si>
    <t>Alfred Wegener Inst Polar &amp; Marine Res, Bussestr 24, D-27570 Bremerhaven, Germany.</t>
  </si>
  <si>
    <t>dolbers@awi-bremerhaven.de</t>
  </si>
  <si>
    <t>Visbeck, Martin/G-2461-2011; Visbeck, Martin H/B-6541-2016</t>
  </si>
  <si>
    <t>Visbeck, Martin/0000-0002-0844-834X; Visbeck, Martin H/0000-0002-0844-834X</t>
  </si>
  <si>
    <t>10.1175/JPO2750.1</t>
  </si>
  <si>
    <t>953FM</t>
  </si>
  <si>
    <t>WOS:000231062000002</t>
  </si>
  <si>
    <t>Friocourt, Y; Drijfhout, S; Blanke, B; Speich, S</t>
  </si>
  <si>
    <t>Water mass export from drake passage to the Atlantic, Indian, and Pacific Oceans: A Lagrangian model analysis</t>
  </si>
  <si>
    <t>ANTARCTIC CIRCUMPOLAR CURRENT; GENERAL-CIRCULATION MODEL; SOUTH-ATLANTIC; CONVEYOR BELT; THERMOHALINE CIRCULATION; EQUATORIAL UNDERCURRENT; INTEROCEAN EXCHANGE; NORTH-ATLANTIC; DEACON CELL; TRANSPORT</t>
  </si>
  <si>
    <t>The northward export of intermediate water front Drake Passage is investigated in two global ocean general circulation models (GCMs) by means of quantitative particle tracing diagnostics. This study shows that a total of about 23 Sv (Sv equivalent to 10(6) m(3) s(-1)) is exported from Drake Passage to the equator. The Atlantic and Pacific Oceans are the main catchment basins with 7 and 15 Sv, respectively. Only 1-2 Sv of the water exported to the Atlantic equator follow the direct cold route from Drake Passage without entering the Indian Ocean. The remainder loops first into the Indian Ocean subtropical gyre and flows eventually into the Atlantic Ocean by Agulhas leakage. The authors assess the robustness of a theory that relates the export from Drake Passage to the equator to the wind stress over the Southern Ocean. Our GCM results are in reasonable agreement with the theory that predicts the total export. However, the theory cannot be applied to individual basins because of interocean exchanges through the supergyre mechanism and other non-linear processes such as the Agulhas rings. The export of water front Drake Passage starts mainly as an Ekman flow just northward of the latitude band of the Antarctic Circumpolar Current south of South America. Waters quickly subduct and are transferred to the ocean interior as they travel equatorward. They flow along the eastern boundaries in the Sverdrup interior and cross the southern basins northwestward to reach the equator within the western boundary current systems.</t>
  </si>
  <si>
    <t>UBO UFR Sci &amp; Tech, Lab Phys Oceans, F-29238 Brest, France; Royal Netherlands Meteorol Inst, NL-3730 AE De Bilt, Netherlands; IFREMER, UBO, NCRS, UMR 6523,Lab Phys Oceans, Brest, France</t>
  </si>
  <si>
    <t>Centre National de la Recherche Scientifique (CNRS); Ifremer; Institut de Recherche pour le Developpement (IRD); Royal Netherlands Meteorological Institute; Centre National de la Recherche Scientifique (CNRS); Ifremer; Institut de Recherche pour le Developpement (IRD); Universite de Bretagne Occidentale; CNRS - National Institute for Earth Sciences &amp; Astronomy (INSU)</t>
  </si>
  <si>
    <t>Friocourt, Y (corresponding author), UBO UFR Sci &amp; Tech, Lab Phys Oceans, 6 Ave Gorgeu,CS 93837, F-29238 Brest, France.</t>
  </si>
  <si>
    <t>yann.friocourt@univ-brest.fr</t>
  </si>
  <si>
    <t>Speich, Sabrina/L-3780-2014; Drijfhout, Sybren/I-4230-2016; Blanke, Buno/A-3724-2010; Blanke, Bruno/H-4280-2015</t>
  </si>
  <si>
    <t>Speich, Sabrina/0000-0002-5452-8287; Drijfhout, Sybren/0000-0001-5325-7350; Blanke, Bruno/0000-0002-1309-0952</t>
  </si>
  <si>
    <t>10.1175/JPO2748.1</t>
  </si>
  <si>
    <t>WOS:000231062000003</t>
  </si>
  <si>
    <t>Maddison, EJ; Pike, J; Leventer, A; Domack, EW</t>
  </si>
  <si>
    <t>Deglacial seasonal and sub-seasonal diatom record from Palmer Deep, Antarctica</t>
  </si>
  <si>
    <t>JOURNAL OF QUATERNARY SCIENCE</t>
  </si>
  <si>
    <t>Meeting on Current Advances in Annual Band Studies and to Share Approaches and Techniques Applied to the Different Archives</t>
  </si>
  <si>
    <t>JAN, 2004</t>
  </si>
  <si>
    <t>Univ Wales, Bangor, WALES</t>
  </si>
  <si>
    <t>Univ Wales</t>
  </si>
  <si>
    <t>Antarctic Peninsula; diatoms; laminated sediments; palaeoceanography; Palmer Deep</t>
  </si>
  <si>
    <t>LAST GLACIAL MAXIMUM; SEDIMENT TRAP; ICE SHELF; LAMINATED SEDIMENTS; SEA-ICE; PENINSULA; VARIABILITY; HISTORY; WEST; PRODUCTIVITY</t>
  </si>
  <si>
    <t>The Antarctic Peninsula is one of the most sensitive regions of Antarctica to climate change. Here, ecological and cryospheric systems respond rapidly to climate fluctuations. A 4.4 m thick laminated diatom ooze deposited during the last deglaciation is examined from a marine sediment core (ODP Site 1098) recovered from Basin 1, Palmer Deep, western Antarctic Peninsula. This deglacial laminated interval was deposited directly over a glaciomarine diamict, hence during a globally recognised period of rapid climate change. The ultra-high-resolution deglacial record is analysed using SEM backscattered electron imagery and secondary electron imagery. Laminated to thinly bedded orange-brown diatom ooze (near monogeneric Hyalochaete Chaetoceros spp. resting spores) alternates with blue-grey terrigenous sediments (open water diatom species). These discrete laminae are interpreted as austral spring and summer signals respectively, with negligible winter deposition. Sub-seasonal sub-laminae are observed repeatedly through the summer laminae, suggesting variations in shelf waters throughout the summer. Tidal cycles, high storm intensities and/or intrusion of Circumpolar Deep Water onto the continental shelf introduced conditions which enhanced specific species productivity through the season. Copyright (C) 2005 John Wiley &amp; Sons, Ltd.</t>
  </si>
  <si>
    <t>Cardiff Univ, Sch Earth Ocean &amp; Planetary Sci, Cardiff CF10 3YE, S Glam, Wales; Colgate Univ, Dept Geol, Hamilton, NY 13346 USA; Hamilton Coll, Dept Geol, Clinton, NY 13323 USA</t>
  </si>
  <si>
    <t>Cardiff University; Colgate University; Hamilton College</t>
  </si>
  <si>
    <t>Cardiff Univ, Sch Earth Ocean &amp; Planetary Sci, Main Bldg,Pk Pl, Cardiff CF10 3YE, S Glam, Wales.</t>
  </si>
  <si>
    <t>MaddisonEJ@cf.ac.uk</t>
  </si>
  <si>
    <t>Pike, Jennifer/0000-0001-9415-6003; Leventer, Amy/0000-0001-9401-0987</t>
  </si>
  <si>
    <t>0267-8179</t>
  </si>
  <si>
    <t>1099-1417</t>
  </si>
  <si>
    <t>J QUATERNARY SCI</t>
  </si>
  <si>
    <t>J. Quat. Sci.</t>
  </si>
  <si>
    <t>10.1002/jqs.947</t>
  </si>
  <si>
    <t>952RP</t>
  </si>
  <si>
    <t>WOS:000231023500004</t>
  </si>
  <si>
    <t>Van den Hoff, J; Fraccaro, R; Mitchell, P; Field, I; McMahon, C; Burton, H; Blanchard, W; Duignan, P; Rogers, T</t>
  </si>
  <si>
    <t>Estimating body mass and condition of leopard seals by allometrics</t>
  </si>
  <si>
    <t>JOURNAL OF WILDLIFE MANAGEMENT</t>
  </si>
  <si>
    <t>allometric equations; anesthesia; Antarctica; body condition; Hydrurga leptonyx; leopard seal; mass; morphometrics</t>
  </si>
  <si>
    <t>SOUTHERN ELEPHANT SEAL; HYDRURGA-LEPTONYX; MIROUNGA-LEONINA; ANESTHESIA</t>
  </si>
  <si>
    <t>Leopard seals (Hydrurga leptonyx) are formidable marine predators and require sedation before scientific examination. Mass-specific drug dosage for leopard seals has usually been determined from generic allometric equations or visual estimates. However, the leopard seal is a slender phocid and generic equations are likely to return inaccurate mass estimates, which may lead to fatal overdoses of drugs. We used published and unpublished morphometric data to construct allometric models for estimating leopard seal body mass. The model using volume (Vol), which combined measures of snout-tail length (STL) and the square of girth (G(2)), provided our best estimate of mass (r(2) = 0.97). The model using STL alone was sample-site specific (each r(2) &gt;= 0.85), highlighting G as an important measure to obtain where possible. The confidence and prediction intervals associated with each model broadened with increased seal size and decreased sample size, suggesting the use of extra caution when estimating drug dosage for larger seals to avoid over- or Under-dosing. We also developed a seal body condition index that can assist wildlife management when deciding if rehabilitation of vagrant seals is warranted. Body condition may also affect the induction, duration and recovery times of anaesthetized leopard seals.</t>
  </si>
  <si>
    <t>Australian Antarctic Div, Kingston, Tas 7050, Australia; StatSoft Pacific Pty Ltd, Melbourne, Vic 3004, Australia; Sea World, Surfers Paradise, Qld 4217, Australia; Massey Univ, IVABS, New Zealand Wildlife Hlth Ctr, Palmerston North, New Zealand; Univ Sydney, Fac Vet Sci, Zool Pk Board, Mosman, NSW 2088, Australia</t>
  </si>
  <si>
    <t>Australian Antarctic Division; Massey University; University of Sydney</t>
  </si>
  <si>
    <t>Australian Antarctic Div, 203 Channel Highway, Kingston, Tas 7050, Australia.</t>
  </si>
  <si>
    <t>john_van@aad.gov.au</t>
  </si>
  <si>
    <t>Rogers, Tracey L/C-3419-2008; McMahon, Clive R/D-5713-2013</t>
  </si>
  <si>
    <t>McMahon, Clive R/0000-0001-5241-8917; Rogers, Tracey/0000-0002-7141-4177</t>
  </si>
  <si>
    <t>0022-541X</t>
  </si>
  <si>
    <t>1937-2817</t>
  </si>
  <si>
    <t>J WILDLIFE MANAGE</t>
  </si>
  <si>
    <t>J. Wildl. Manage.</t>
  </si>
  <si>
    <t>10.2193/0022-541X(2005)069[1015:EBMACO]2.0.CO;2</t>
  </si>
  <si>
    <t>985NX</t>
  </si>
  <si>
    <t>WOS:000233385900016</t>
  </si>
  <si>
    <t>Sunda, WG; Huntsman, SA</t>
  </si>
  <si>
    <t>Effect of CO2 supply and demand on zinc uptake and growth limitation in a coastal diatom</t>
  </si>
  <si>
    <t>SUB-ARCTIC PACIFIC; MARINE-PHYTOPLANKTON; CARBONIC-ANHYDRASE; THALASSIOSIRA-PSEUDONANA; CHLOROPHYLL-A; ANTARCTIC WATERS; SOUTHERN-OCEAN; SILICIC-ACID; IRON; SEAWATER</t>
  </si>
  <si>
    <t>We conducted culture experiments with Thalassiosira pseudonana to determine the effect of CO2 photoperiod, and light intensity on cellular zinc concentrations and zinc requirements for growth. Cellular zinc requirements were dependent on the supply of CO2 relative to its photosynthetic demand. Decreasing the CO2 concentration (via an increase in pH from 8.2 to 9.0) increased the cellular zinc required to achieve a given growth rate or that needed for maximum growth. This increase is apparently linked to a greater demand for the zinc enzyme carbonic anhydrase (CA), which is needed for cellular CO2 acquisition. A decrease in photoperiod had a similar effect. Based on the present and previous results, a decrease in photoperiod from 24 h d(-1) (continuous light) to 7 h d-1 was accompanied by an estimated 2.2-fold increase in the net specific rate of photosynthetic C fixation, which increased the cellular demand for CA. The higher cellular requirement for zinc under decreased CO2 or photoperiod was accentuated at high growth rates because of a disproportionate increase in the cellular demand for CA with increasing specific rate of C fixation. The increased demand for cellular zinc was largely met by a decrease in the daily specific growth rate, which increased cellular zinc concentrations by decreasing biodilution rates. In addition, there was an approximately twofold increase in cellular zinc uptake rates at high zinc concentrations (and high growth rates) for cells grown at low CO2 concentration. In contrast to the effects of decreased CO2 or photoperiod, a tenfold decrease in light intensity reduced the cellular zinc requirement, apparently linked to a 2.8-fold decrease in the maximum specific growth rate, and resultant decreased demand for CA and other biosynthetic zinc enzymes. Other factors (e.g., iron limitation) that decrease specific growth rate should have a similar effect.</t>
  </si>
  <si>
    <t>NOAA, Natl Ocean Serv, Ctr Coastal Fisheries &amp; Habitat Res, Beaufort, NC 28516 USA</t>
  </si>
  <si>
    <t>National Oceanic Atmospheric Admin (NOAA) - USA; National Ocean Service, NOAA</t>
  </si>
  <si>
    <t>Sunda, WG (corresponding author), NOAA, Natl Ocean Serv, Ctr Coastal Fisheries &amp; Habitat Res, Beaufort, NC 28516 USA.</t>
  </si>
  <si>
    <t>bill.sunda@noaa.gov</t>
  </si>
  <si>
    <t>AMER SOC LIMNOLOGY OCEANOGRAPHY</t>
  </si>
  <si>
    <t>WACO</t>
  </si>
  <si>
    <t>5400 BOSQUE BLVD, STE 680, WACO, TX 76710-4446 USA</t>
  </si>
  <si>
    <t>10.4319/lo.2005.50.4.1181</t>
  </si>
  <si>
    <t>946PS</t>
  </si>
  <si>
    <t>WOS:000230585100015</t>
  </si>
  <si>
    <t>Deheyn, DD; Gendreau, P; Baldwin, RJ; Latz, MI</t>
  </si>
  <si>
    <t>Evidence for enhanced bioavailability of trace elements in the marine ecosystem of Deception Island, a volcano in Antarctica</t>
  </si>
  <si>
    <t>Antarctica; Champsocephalus gunnari; Deception Island; Euphausia superba; food chain; geothermal activity; krill; metal; Ophionotus victoriae; trace element</t>
  </si>
  <si>
    <t>HEAVY-METAL CONCENTRATIONS; KING-GEORGE ISLAND; PORT FOSTER; BRANSFIELD STRAIT; FISH; SEDIMENTS; BIOACCUMULATION; ACCUMULATION; ORGANISMS; NUTRIENTS</t>
  </si>
  <si>
    <t>This study assessed whether trace elements present at Deception Island, an active submarine volcano in the Antarctic Peninsula, show enhanced biological availability to the local marine community. Using a weak acid extraction method to dissolve organic material and leach associated but not constitutive trace elements of sediments, fifteen elements were measured from seafloor sediment, seawater particulates, and tissues of benthic (bivalves, brittlestars, sea urchins) and pelagic (demersal and pelagic fishes, krill) organisms collected in the flooded caldera. The highest element concentrations were associated with scafloor sediment, the lowest with seawater particulates and organism tissues. In the case of Ag and Se, concentrations were highest in organism tissue, indicating contamination through the food chain and biomagnification of those elements. The elements Al, Fe, Mn, Sr, Ti, and to a lesser extent Zn, were the most concentrated of the trace elements for all sample types. This indicates that the whole ecosystem of Deception Island is contaminated with trace elements from local geothermal activity, which is also reflected in the pattern of element contamination in organisms. Accordingly, element concentrations were higher in organisms collected at Deception Island compared to those from the neighboring non-active volcanic King George Island, suggesting that volcanic activity enhances bioavailability of trace elements to marine organisms. Trace</t>
  </si>
  <si>
    <t>Univ Calif San Diego, Scripps Inst Oceanog, Div Marine Biol Res, La Jolla, CA 92093 USA</t>
  </si>
  <si>
    <t>Univ Calif San Diego, Scripps Inst Oceanog, Div Marine Biol Res, 9500 Gilman Dr, La Jolla, CA 92093 USA.</t>
  </si>
  <si>
    <t>ddeheyn@ucsd.edu</t>
  </si>
  <si>
    <t>1879-0291</t>
  </si>
  <si>
    <t>10.1016/j.marenvres.2004.08.001</t>
  </si>
  <si>
    <t>905UW</t>
  </si>
  <si>
    <t>WOS:000227597000001</t>
  </si>
  <si>
    <t>King, AL; Howard, WR</t>
  </si>
  <si>
    <t>δ18O seasonality of planktonic foraminifera from Southern Ocean sediment traps:: Latitudinal gradients and implications for paleoclimate reconstructions</t>
  </si>
  <si>
    <t>oxygen isotopes; paleotemperature; temperature equations; particle fluxes; planktonic foraminifera; paleochemistry</t>
  </si>
  <si>
    <t>SEAWATER CARBONATE CONCENTRATION; ISOTOPIC COMPOSITION; VERTICAL-DISTRIBUTION; STABLE-ISOTOPES; INDIAN-OCEAN; ZONE SOUTH; FRONTS; TEMPERATURE; SEA; PHYTOPLANKTON</t>
  </si>
  <si>
    <t>The oxygen isotopic record obtained from Globigerina bulloides, Globorotalia inflata, and Neogloboquadrina pachyderma (s) was analysed for 5 sediment traps moored in the Southern Ocean and Southwest Pacific. The traps extend from Subtropical to the Polar Frontal environments, providing the first analysis of seasonal foraminiferal delta O-18 records from these latitudes. Comparison between the foraminiferal records and various equations for predicted (delta)18O of calcite reveals that the predicted 8180 is best captured by the equations of Epstein et al. (1953) [Epstein, S., Buchsbaum, R., Lowenstam, H.A., Urey, H.C., 1953. Revised carbonate-water isotopic temperature scale. Geological Society of America Bulletin 64, 1315-1326.] and Kim and O'Neil (1997) [Kim, S.-T., O'Neil, J.R., 1997. Equilibrium and non-equilibrium oxygen isotope effects in synthetic carbonates. Geochimica et Cosmochimica Acta 61, 3461-3475.]. The Epstein equation shows a constant offset from the (delta)18O of G. bulloides and N. pachyderma (s.) across the full range of latitudes. The seasonal range in delta O-18 values for these two species implies a near-surface habitat across all sites, while G. inflata most likely dwells at similar to 50 in depth. A significant finding in this study was that offsets from predicted delta 18O for G, bulloides do not correlate to changes in the carbonate ion concentration. This [CO32-] suggests that 3 in and of itself may not capture the full range of carbonate chemistry conditions in the marine system. This sediment trap deployment also reveals distinct seasonal flux patterns for each species. Comparison between flux-weighted isotopic values calculated from the sediment traps and the isotopic composition of nearby surface sediments indicates that the sedimentary records retain this seasonal imprint. At the 51 degrees S site, G. bulloides has a spring flux peak while N. pachyderma (s.) is dominated by summer production. The imprint of these differing seasonal production patterns on the flux-weighted delta O-18 values results in more depleted 8180 for N. pachyderma (s.) than for G. bulloides. Interpretations of N. pachydernia (s.) isotopic composition as a record of subsurface conditions may therefore need to be refined, with implications for interpretationdepleted glacial delta C-13 for this species (Sigman &amp; Boyle, 2000) [Sigman, D.M., Boyle, E.A., 2000. Glacial/interglacial variations in atmospheric carbon dioxide. Nature 407, 859-869.]. (c) 2005 Elsevier B.V All rights reserved.</t>
  </si>
  <si>
    <t>Univ Tasmania, Inst Antarctic &amp; So Ocean Studies, Hobart, Tas 7001, Australia; Univ Tasmania, Antarctic Cooperat Res Ctr, Hobart, Tas 7001, Australia</t>
  </si>
  <si>
    <t>Geosci Australia, GPO Box 378, Canberra, ACT 2601, Australia.</t>
  </si>
  <si>
    <t>Alix.Post@ga.gov.au; Will.Howard@utas.edu.au</t>
  </si>
  <si>
    <t>Post, Alexandra/0000-0002-6287-3283</t>
  </si>
  <si>
    <t>10.1016/j.marmicro.2005.02.008</t>
  </si>
  <si>
    <t>943SP</t>
  </si>
  <si>
    <t>WOS:000230374900001</t>
  </si>
  <si>
    <t>Murgese, DS; De Deckker, P</t>
  </si>
  <si>
    <t>The distribution of deep-sea benthic foraminifera in core tops from the eastern Indian Ocean</t>
  </si>
  <si>
    <t>benthic foraminifera; carbon flux; Eastern Indian Ocean; Indonesian Throughflow; dissolved oxygen; nutrients; bathymetry; DCA; CCA; primary productivity; Western Australia; Indonesia</t>
  </si>
  <si>
    <t>STABLE ISOTOPIC COMPOSITIONS; ORGANIC-MATTER; BATHYMETRIC DISTRIBUTION; VERTICAL-DISTRIBUTION; CONTINENTAL-MARGIN; SURFACE SEDIMENTS; SOUTH CHINA; WATER; MICROHABITAT; FLUX</t>
  </si>
  <si>
    <t>Relative abundances of benthic foraminifera in 57 core tops collected within a depth-range between 700 and 4335 in below sea level [b.s.l.] from the eastern Indian Ocean (mostly between Australia and Indonesia) were investigated quantitatively using Detrended Correspondence Analysis (DCA) to analyse species spatial-distribution. Canonical Correspondence Analysis (CCA) and correlation matrices were used to evaluate the relationships between the species distribution and environmental variables (temperature, salinity, dissolved oxygen, nitrate and phosphate concentrations, carbon-flux rate). Seven key-species proved useftil for distinguishing environmental parameters. Two groups of species are identified by means of the first DCA ordination axis. The first group increases in relative abundances with depth and includes three taxa: Oridorsalis tener umbonatus, Epistominella exigua and Pyrgo murrhina. These three taxa prefer a cold (&lt; 3 degrees C) and well-oxygenated (&gt; 3.5 ml/l) environment, with low carbon flux to the sea floor (&lt; 3 g C m(-2) year(-1)). O. tener umbonatus and P murrhina tend to indicate reduced food availability, whereas E. exigua may indicate periodic delivery (seasonal) of organic matter to the sea floor. The second group includes Nummoloculina irregularis and Cibicidoides pseudoungerianus, typical of upper-bathyal depths. C. pseudoungerianus is correlated with a warm (&gt; 2.5 degrees C) environment characterised by high carbon-flux rate (&gt; 2.5 g C m(- 2) year(-1)). N. irregularis is associated with high dissolved-oxygen concentrations (&gt; 3 ml/l) and its distribution is limited to south of 20 degrees S. In this area, the contemporary presence of the low salinity and well oxygenated Antarctic Intermediate Water and low primary productivity at the sea-surface (which causes low oxygen consumption at the sea floor) create the ideal conditions for this species. The second ordination-axis scores identify another taxon, Uvigerina proboscidea. The distribution of this species is mainly limited to low latitudes (north of 25 degrees S), where carbon flux rate is high (&gt; 3.5 g C m(-2) year(-1)), due to higher primary productivity levels at the sea surface, and oxygen levels are low (&lt; 3 ml/1) due to the organic matter oxidation and the presence of oxygen-depleted Indonesian Intermediate Water and North Indian Intermediate Water. (c) 2005 Elsevier B.V All rights reserved.</t>
  </si>
  <si>
    <t>Australian Natl Univ, Dept Earth &amp; Marine Sci, Canberra, ACT 0200, Australia</t>
  </si>
  <si>
    <t>Australian Natl Univ, Dept Earth &amp; Marine Sci, Canberra, ACT 0200, Australia.</t>
  </si>
  <si>
    <t>murgesedavide@libero.it</t>
  </si>
  <si>
    <t>10.1016/j.marmicro.2005.03.005</t>
  </si>
  <si>
    <t>WOS:000230374900002</t>
  </si>
  <si>
    <t>Montone, RC; Taniguchi, S; Boian, C; Weber, RR</t>
  </si>
  <si>
    <t>PCBs and chlorinated pesticides (DDTs, HCHs and HCB) in the atmosphere of the southwest Atlantic and Antarctic oceans</t>
  </si>
  <si>
    <t>PERSISTENT ORGANOCHLORINES; ISLAND; TRANSPORT; AIR</t>
  </si>
  <si>
    <t>Univ Sao Paulo, Inst Oceanog, Lab QOM, BR-05508900 Sao Paulo, Brazil; Inst Nacl Pesquisas Espaciais, Sao Jose Dos Campos, Brazil</t>
  </si>
  <si>
    <t>Universidade de Sao Paulo; Instituto Nacional de Pesquisas Espaciais (INPE)</t>
  </si>
  <si>
    <t>Univ Sao Paulo, Inst Oceanog, Lab QOM, Praca Oceanog 191, BR-05508900 Sao Paulo, Brazil.</t>
  </si>
  <si>
    <t>rmontone@usp.br</t>
  </si>
  <si>
    <t>Montone, Rosalinda C/J-9110-2012; Taniguchi, Satie/D-2552-2013</t>
  </si>
  <si>
    <t>Taniguchi, Satie/0000-0002-6825-6390</t>
  </si>
  <si>
    <t>10.1016/j.marpolbul.2005.03.002</t>
  </si>
  <si>
    <t>947EO</t>
  </si>
  <si>
    <t>WOS:000230626400019</t>
  </si>
  <si>
    <t>Menzies, ON; Bland, PA; Berry, FJ; Cressey, G</t>
  </si>
  <si>
    <t>A Mossbauer spectroscopy and X-ray diffraction study of ordinary chondrites: Quantification of modal mineralogy and implications for redox conditions during metamorphism</t>
  </si>
  <si>
    <t>UNEQUILIBRATED ORDINARY CHONDRITES; QUANTITATIVE PHASE-ANALYSIS; CARBONACEOUS CHONDRITES; AQUEOUS ALTERATION; TYPE-3 CHONDRITES; CHEMICAL-ANALYSES; RIETVELD METHOD; METEORITES; OLIVINE; HISTORY</t>
  </si>
  <si>
    <t>We present a method that combines Mossbauer spectroscopy and X-ray diffraction to quantify the modal mineralogy of unequilibrated ordinary chondrites (UOCs). Despite being a fundamental tool in the interpretation of geological systems, there are no modal mineralogical data available for these meteorites. This is due to their fine-grained nature, highly heterogeneous silicate mineralogy, and the presence of poorly characterized phases. Consequently, it has not been possible to obtain accurate modal mineralogy by conventional techniques such as point counting. Here we use Mossbauer spectroscopy as a preliminary identification technique and X-ray diffraction provides the quantification for a suite of recent UOC falls. We find the most primitive UOCs to contain a significant amount of phyllosilicate material that was converted during metamorphism to form ferromagnesian silicates. A complete suite of Antarctic samples is analyzed by each method to observe mineralogical trends and these are compared with trends shown by recent falls. The fact that mineralogical relationships shown by finds and falls are in agreement allows us to be confident that we are observing the products of pre-terrestrial alteration. Mossbauer spectroscopy reveals evidence of steadily increasing reduction with metamorphism in the UOCs. Because this technique allows comparisons to be made between UOCs and EOCs, our reduction sequence can be combined with other evidence showing progressive oxidation in the EOCs. This yields an integrated model of changing redox conditions on equilibrating ordinary chondrite parent bodies.</t>
  </si>
  <si>
    <t>Univ London Imperial Coll Sci Technol &amp; Med, IARC, Dept Earth Sci &amp; Engn, London SW7 2AZ, England; Open Univ, Dept Chem, Milton Keynes MK7 6AA, Bucks, England; Nat Hist Museum, Dept Mineral, London SW7 5BD, England</t>
  </si>
  <si>
    <t>Imperial College London; Natural History Museum London; Open University - UK; Natural History Museum London</t>
  </si>
  <si>
    <t>Univ London Imperial Coll Sci Technol &amp; Med, IARC, Dept Earth Sci &amp; Engn, S Kensington Campus, London SW7 2AZ, England.</t>
  </si>
  <si>
    <t>10.1111/j.1945-5100.2005.tb00171.x</t>
  </si>
  <si>
    <t>969TK</t>
  </si>
  <si>
    <t>WOS:000232257500006</t>
  </si>
  <si>
    <t>Bates, ML; England, MH; Sijp, WP</t>
  </si>
  <si>
    <t>On the multi-century Southern Hemisphere response to changes in atmospheric CO2-concentration in a Global Climate Model</t>
  </si>
  <si>
    <t>ANTARCTIC INTERMEDIATE WATER; CIRCUMPOLAR CURRENT; OCEAN; CIRCULATION; ICE; THERMOHALINE; TRANSPORT; INCREASE; FLUX; CO2</t>
  </si>
  <si>
    <t>The transient response of the Southern Hemisphere to climate change is examined using an intermediate complexity climate model. Unlike previous studies, the Southern Ocean response on the centennial to multi-centennial time-scale is assessed in some detail. It is shown that changes in atmospheric CO2-concentrations lead to an increase in the strength of the Antarctic Circumpolar Current (ACC) by similar to 20 Sv by 2750 for an atmospheric CO2-concentration of 750 ppm. This increase is predominantly the result of an enhanced steric height gradient. The increase in the strength of the ACC induces changes in its steering around topographic features. This change in ACC pathway causes increased surface flow of colder waters into some regions (reducing the rate of warming) and increased surface flow of warmer waters into others (increasing the rate of warming). This meridional shifting of the ACC causes changes in atmospheric temperature in the Southern Hemisphere to be nonuniform. It is also shown that the strength and location of the Antarctic Bottom Water (AABW) overturning cell is affected by increased atmospheric CO2. For a CO2-concentration scenario increasing gradually to 750 ppm, AABW production initially decreases, then recovers and eventually increases. New production zones form, which extend AABW production all the way from the Weddell Sea eastward into the Ross Sea. These new production zones are the result of increased areas of atmosphere-ocean interactions, due to decreased sea-ice coverage, although the overturned waters are now warmer and fresher due to climate change. A new production zone of Antarctic Intermediate water is also established in the Southeast Pacific Ocean, poleward of its present-day location.</t>
  </si>
  <si>
    <t>m.england@unsw.edu.au</t>
  </si>
  <si>
    <t>England, Matthew/A-7539-2011; Sijp, Willem P/E-5988-2012</t>
  </si>
  <si>
    <t>England, Matthew/0000-0001-9696-2930; Bates, Michael/0000-0002-3729-1417</t>
  </si>
  <si>
    <t>Vienna</t>
  </si>
  <si>
    <t>Prinz-Eugen-Strasse 8-10, A-1040 Vienna, AUSTRIA</t>
  </si>
  <si>
    <t>10.1007/s00703-005-0119-x</t>
  </si>
  <si>
    <t>951WR</t>
  </si>
  <si>
    <t>WOS:000230963600003</t>
  </si>
  <si>
    <t>Rosenstock, B; Zwisler, W; Simon, M</t>
  </si>
  <si>
    <t>Bacterial consumption of humic and non-humic low and high molecular weight DOM and the effect of solar irradiation on the turnover of labile DOM in the Southern Ocean</t>
  </si>
  <si>
    <t>MICROBIAL ECOLOGY</t>
  </si>
  <si>
    <t>DISSOLVED ORGANIC-MATTER; COMBINED AMINO-ACIDS; BIOLOGICALLY AVAILABLE NITROGEN; MARINE-BACTERIA; LIMNETIC BACTERIOPLANKTON; CHEMICAL-COMPOSITION; MESOTROPHIC LAKE; NATURAL-WATERS; UV-RADIATION; SEA-WATER</t>
  </si>
  <si>
    <t>The decomposition of dissolved organic matter (DOM) in pelagic ecosystems is mediated primarily by heterotrophic bacteria, but transformation by short-wave solar radiation may play an important role in surface waters, in particular when humic substances constitute a substantial fraction of the DOM pool. Most of the studies examining bacterial decomposition and photochemical transformation of DOM stem from limnetic and coastal marine systems and much less information is available from oceanic environments. To examine the bacterial decomposition of humic and non-humic DOM in the Southern Ocean we carried out microcosm experiments in which we measured bacterial growth on isolated fractions of humic and non-humic DOM of the size classes &lt; 3 kDa and &gt; 3 kDa. Experiments carried out at the Polar Front showed a preferential bacterial growth on non-humic DOM and in particular on the size fraction &lt; 3 kDa. Bacterial growth, measured as bacterial biomass production, on non-humic DOM accounted for 74% to 88% of the total growth on all four DOM fractions. In experiments in the Antarctic circumpolar current and the coastal current under pack ice, bacterial growth was 6x lower than at the Polar Front, and humic and non-humic DOM was consumed to equal amounts. The size fraction &lt; 3 kDa was always preferred. Experiments examining the effect of solar radiation on the release of dissolved amino acids (DAA) and carbohydrates (DCHO) and their subsequent bacterial utilization showed a stimulating effect on glucose uptake and the release of DAA at the Polar Front but an inhibition in the eastern Weddell Sea. Ultraviolet-B was the most effective component of the solar radiation spectrum tested. Effects of UV-B on glucose uptake and release of DAA were positively correlated with concentrations of humic-bound DAA. The data imply that at low concentrations, e.g., &lt; 100 nM (amino acid equivalent), UV-irradiation reduces, whereas at concentrations &gt; 100 nM UV-irradiation stimulates glucose uptake and release of DAA as compared to dark conditions.</t>
  </si>
  <si>
    <t>Univ Oldenburg, Inst Chem &amp; Biol Marine Environm, D-26111 Oldenburg, Germany</t>
  </si>
  <si>
    <t>Univ Oldenburg, Inst Chem &amp; Biol Marine Environm, D-26111 Oldenburg, Germany.</t>
  </si>
  <si>
    <t>m.simon@icbm.de</t>
  </si>
  <si>
    <t>0095-3628</t>
  </si>
  <si>
    <t>1432-184X</t>
  </si>
  <si>
    <t>MICROB ECOL</t>
  </si>
  <si>
    <t>Microb. Ecol.</t>
  </si>
  <si>
    <t>10.1007/s00248-004-0116-5</t>
  </si>
  <si>
    <t>969WU</t>
  </si>
  <si>
    <t>WOS:000232267300010</t>
  </si>
  <si>
    <t>Serdy, A</t>
  </si>
  <si>
    <t>Towards certainty of seabed jurisdiction beyond 200 nautical miles from the territorial sea baseline: Australia's submission to the commission on the limits of the Continental Shelf</t>
  </si>
  <si>
    <t>OCEAN DEVELOPMENT AND INTERNATIONAL LAW</t>
  </si>
  <si>
    <t>Australia; Commission on the Limits of the Continental Shelf; extended continental shelf; UNCLOS Article 76</t>
  </si>
  <si>
    <t>On 15 November 2004, Australia lodged only the third submission by a coastal state to the Commission on the Limits of the Continental Shelf. The ten discrete areas in which Australia's continental shelf extends beyond 200 nautical miles from the territorial sea baseline total over 3 million square kilometers. This article outlines Australia's submission on the basis of the published executive summary and the procedural rules of the Commission that are to govern its examination, exploring some of the submission's implications for other states in terms of Article 76 of the Law of the Sea Convention.</t>
  </si>
  <si>
    <t>Dept Foreign Affairs &amp; Trade, Sea Law Environm Law &amp; Antarctic Policy Sect, Barton, Australia</t>
  </si>
  <si>
    <t>Serdy, A (corresponding author), Univ Southampton, Sch Law, Southampton SO17 1BJ, Hants, England.</t>
  </si>
  <si>
    <t>serdyA@law.anu.edu.au</t>
  </si>
  <si>
    <t>Serdy, Andrew/AFK-3793-2022</t>
  </si>
  <si>
    <t>Serdy, Andrew/0000-0002-4727-6536</t>
  </si>
  <si>
    <t>325 CHESTNUT ST, SUITE 800, PHILADELPHIA, PA 19106 USA</t>
  </si>
  <si>
    <t>0090-8320</t>
  </si>
  <si>
    <t>OCEAN DEV INT LAW</t>
  </si>
  <si>
    <t>Ocean Dev. Int. Law</t>
  </si>
  <si>
    <t>JUL-SEP</t>
  </si>
  <si>
    <t>10.1080/00908320591004298</t>
  </si>
  <si>
    <t>International Relations; Law</t>
  </si>
  <si>
    <t>International Relations; Government &amp; Law</t>
  </si>
  <si>
    <t>945ET</t>
  </si>
  <si>
    <t>WOS:000230486100001</t>
  </si>
  <si>
    <t>Koshlyakov, MN; Tarakanov, RY</t>
  </si>
  <si>
    <t>Intermediate water masses in the southern part of the Pacific Ocean</t>
  </si>
  <si>
    <t>CIRCULATION; SECTION</t>
  </si>
  <si>
    <t>The data of the sections of the hydrophysical World Ocean Circulation Experiment (WOCE) and climatic hydrophysical data are used to study the propagation and properties of the Intermediate Antarctic Water (AAIW), Subantarctic Mode Water (SAAMW), and some other intermediate waters in the Pacific sector of the Southern Ocean. A new original method is used to determine the position of the boundaries between the water masses. The mean values of the water mass characteristics and the ranges of their variability are calculated. The regions of the formation and pathways of the water masses' propagation are determined. The North Subantarctic Front, which limits the SAAMW from the north at the ocean surface, is distinguished for the first time. An original concept is formulated about the physical nature of the well-known effect of the AAIW transformation [12, 14] in the southeastern part of the Pacific Ocean.</t>
  </si>
  <si>
    <t>PP Shirshov Oceanol Inst, Moscow, Russia</t>
  </si>
  <si>
    <t>PP Shirshov Oceanol Inst, Moscow, Russia.</t>
  </si>
  <si>
    <t>Tarakanov, Roman/R-3325-2016</t>
  </si>
  <si>
    <t>Tarakanov, Roman/0000-0002-8711-1859</t>
  </si>
  <si>
    <t>PLEIADES HOUSE, 7 W 54 ST, NEW YORK, NY, UNITED STATES</t>
  </si>
  <si>
    <t>958XX</t>
  </si>
  <si>
    <t>WOS:000231482600001</t>
  </si>
  <si>
    <t>Helbling, EW; Barbieri, ES; Marcoval, MA; Gonçalves, RJ; Villafañe, VE</t>
  </si>
  <si>
    <t>Impact of solar ultraviolet radiation on marine phytoplankton of Patagonia, Argentina</t>
  </si>
  <si>
    <t>TIERRA-DEL-FUEGO; INDUCED DNA-DAMAGE; UV-RADIATION; B RADIATION; ANTARCTIC PHYTOPLANKTON; OZONE DEPLETION; SPECIES COMPOSITION; ABSORBING COMPOUNDS; SOUTH-AMERICA; ANDEAN LAKES</t>
  </si>
  <si>
    <t>Patagonia area is located in close proximity to the Antarctic ozone hole and thus receives enhanced ultraviolet B (UV-B) radiation (280-315 nm) in addition to the normal levels of ultraviolet A (UV-A; 315-400 nm) and photosynthetically available radiation (PAR; 400-700 nm). In marine ecosystems of Patagonia, normal ultraviolet radiation (UVR) levels affect phytoplankton assemblages during the three phases of the annual succession: (1) prebloom season (late summer-fall), (2) bloom season (winter-early spring) and (3) postbloom season (late spring-summer). Small-size cells characterize the pre-and postbloom communities, which have a relatively high photosynthetic inhibition because of high UVR levels during those seasons. During the bloom, characterized by micro-plankton diatoms, photosynthetic inhibition is low because of the low UVR levels reaching the earth's surface during winter; this community, however, is more sensitive to UV-B when inhibition is normalized by irradiance (i.e. biological weighting functions). In situ studies have shown that UVR significantly affects not only photosynthesis but also the DNA molecule, but these negative effects are rapidly reduced in the water column because of the differential attenuation of solar radiation. UVR also affects photosynthesis versus irradiance (P vs E) parameters of some natural phytoplankton assemblages (i.e. during the pre- but not during the postbloom season). However, there is a significant temporal variability of P vs E parameters, which are influenced by the nutrient status of cells and taxonomic composition; taxonomic composition is in turn associated with the stratification conditions (e.g. wind speed and duration). In Patagonia, wind speed is one of the most important variables that conditions the development of the winter bloom by regulating the depth of the upper mixed layer (UML) and hence the mean irradiance received by cells. Studies on the interactive effects of UVR and mixing show that responses of phytoplankton vary according to the taxonomic composition and cell structure of assemblages; therefore cells use UVR if &gt; 90% of the euphotic zone is being mixed. In fact, cell size plays a very important role when estimating the impact of UVR on phytoplankton, with large cells being more sensitive when determining photosynthesis inhibition, whereas small cells are more sensitive to DNA damage. Finally, in long-term experiments, it was determined that UVR can shape the diatom community structure in some assemblages of coastal waters, but it is virtually unknown how these changes affect the trophodynamics of marine systems. Future studies should consider the combined effects of UVR on both phytoplankton and grazers to establish potential changes in biodiversity of the area.</t>
  </si>
  <si>
    <t>Estac Fotobiol Playa Union, RA-9103 Rawson, Chubut, Argentina; Consejo Nacl Invest Cient &amp; Tecn, RA-1033 Buenos Aires, DF, Argentina</t>
  </si>
  <si>
    <t>Estac Fotobiol Playa Union, Rifleros 227, RA-9103 Rawson, Chubut, Argentina.</t>
  </si>
  <si>
    <t>whelbling@efpu.org.ar</t>
  </si>
  <si>
    <t>Gonçalves, Rodrigo Javier/AAV-2782-2021</t>
  </si>
  <si>
    <t>Gonçalves, Rodrigo Javier/0000-0002-4332-2312; Villafane, Virginia/0000-0002-9552-6069</t>
  </si>
  <si>
    <t>10.1562/2005-03-02-RA-452R.1</t>
  </si>
  <si>
    <t>957KB</t>
  </si>
  <si>
    <t>WOS:000231367600011</t>
  </si>
  <si>
    <t>Amsler, CD; Fairhead, VA; Huang, YM; Okogbue, IN; Amsler, MO; McClintock, JB; Baker, BJ</t>
  </si>
  <si>
    <t>Amsler, C. D.; Fairhead, V. A.; Huang, Y. M.; Okogbue, I. N.; Amsler, M. O.; McClintock, J. B.; Baker, B. J.</t>
  </si>
  <si>
    <t>CHEMICAL ECOLOGY OF ECOLOGICALLY DOMINANT DESMARESTIA SPP. ALONG THE WESTERN ANTARCTIC PENINSULA</t>
  </si>
  <si>
    <t>PHYCOLOGIA</t>
  </si>
  <si>
    <t>[Amsler, C. D.; Fairhead, V. A.; Huang, Y. M.; Okogbue, I. N.; Amsler, M. O.; McClintock, J. B.] Univ Alabama, Dept Biol, Birmingham, AL 35294 USA; [Baker, B. J.] Univ S Florida, Dept Chem, Tampa, FL 33620 USA</t>
  </si>
  <si>
    <t>amsler@uab.edu</t>
  </si>
  <si>
    <t>Huang, Yusheng M/H-9407-2014; Baker, Bill/N-4312-2019</t>
  </si>
  <si>
    <t>INT PHYCOLOGICAL SOC</t>
  </si>
  <si>
    <t>NEW BUSINESS OFFICE, PO BOX 1897, LAWRENCE, KS 66044-8897 USA</t>
  </si>
  <si>
    <t>0031-8884</t>
  </si>
  <si>
    <t>Phycologia</t>
  </si>
  <si>
    <t>V81JZ</t>
  </si>
  <si>
    <t>WOS:000205501500005</t>
  </si>
  <si>
    <t>Campana, GL; Quartino, ML; Ferreyra, GA; Momo, F</t>
  </si>
  <si>
    <t>Campana, G. L.; Quartino, M. L.; Ferreyra, G. A.; Momo, F.</t>
  </si>
  <si>
    <t>IN SITU ECOLOGICAL RESPONSES OF ANTARCTIC SUBTIDAL ALGAE TO MULTIPLE STRESSORS: UV RADIATION AND GRAZING</t>
  </si>
  <si>
    <t>[Campana, G. L.; Quartino, M. L.; Ferreyra, G. A.] Inst Antarctic Argentino, Buenos Aires, DF, Argentina; [Campana, G. L.; Momo, F.] UNLu, Dept Ciencias Basicas, RA-6700 Lujan, Argentina</t>
  </si>
  <si>
    <t>gabycampana@yahoo.com</t>
  </si>
  <si>
    <t>Momo, Fernando R/E-3426-2012</t>
  </si>
  <si>
    <t>Momo, Fernando R/0000-0003-0710-1149</t>
  </si>
  <si>
    <t>WOS:000205501500037</t>
  </si>
  <si>
    <t>Roleda, MY; Zacher, K; Wulff, A; Wiencke, C; Hanelt, D</t>
  </si>
  <si>
    <t>Roleda, M. Y.; Zacher, K.; Wulff, A.; Wiencke, C.; Hanelt, D.</t>
  </si>
  <si>
    <t>SENSITIVITY OF ANTARCTIC MACROALGAL REPRODUCTIVE CELLS TO UV-RADIATION AND PAR</t>
  </si>
  <si>
    <t>[Roleda, M. Y.; Zacher, K.; Wulff, A.; Wiencke, C.] Univ Hamburg, Alfred Wegener Inst Polar &amp; Marine Res, D-22609 Hamburg, Germany; [Hanelt, D.] Univ Hamburg, Biozentrum Klein Flottbek, D-22609 Hamburg, Germany</t>
  </si>
  <si>
    <t>University of Hamburg; Helmholtz Association; Alfred Wegener Institute, Helmholtz Centre for Polar &amp; Marine Research; University of Hamburg</t>
  </si>
  <si>
    <t>dieter.hanelt@botanik.uni-hamburg.de</t>
  </si>
  <si>
    <t>Hanelt, Dieter/E-6659-2017</t>
  </si>
  <si>
    <t>WOS:000205501500102</t>
  </si>
  <si>
    <t>Janknegt, PJ; van de Poll, WH; Roggeveld, J; Gechev, TS; Buma, AGJ</t>
  </si>
  <si>
    <t>Janknegt, P. J.; van de Poll, W. H.; Roggeveld, J.; Gechev, T. S.; Buma, A. G. J.</t>
  </si>
  <si>
    <t>INTER- AND INTRASPECIFIC SOD RESPONSES TO IRRADIANCE IN ANTARCTIC MARINE MICROALGAE</t>
  </si>
  <si>
    <t>janknegt@rug.nl</t>
  </si>
  <si>
    <t>WOS:000205501500118</t>
  </si>
  <si>
    <t>Phang, SM; Teoh, ML; Chu, WL; Marchant, H</t>
  </si>
  <si>
    <t>Phang, S. M.; Teoh, M. L.; Chu, W. L.; Marchant, H.</t>
  </si>
  <si>
    <t>CAN ANTARCTIC MICROALGAE SERVE AS INDICATORS OF GLOBAL WARMING?</t>
  </si>
  <si>
    <t>[Phang, S. M.; Teoh, M. L.] Univ Malaya, Inst Biol Sci, Kuala Lumpur 50603, Malaysia; [Chu, W. L.] Int Med Univ, Kuala Lumpur 57000, Malaysia; [Marchant, H.] Australian Antarctic Div, Kingston, Tas 7050, Australia</t>
  </si>
  <si>
    <t>Universiti Malaya; International Medical University Malaysia; Australian Antarctic Division</t>
  </si>
  <si>
    <t>phang@um.edu.my</t>
  </si>
  <si>
    <t>Phang, Siew Moi/A-7653-2008</t>
  </si>
  <si>
    <t>WOS:000205501500192</t>
  </si>
  <si>
    <t>Wulff, A; Roleda, MY; Zacher, K; Hanelt, D; Wiencke, C</t>
  </si>
  <si>
    <t>Wulff, A.; Roleda, M. Y.; Zacher, K.; Hanelt, D.; Wiencke, C.</t>
  </si>
  <si>
    <t>HOW MUCH ULTRAVIOLET RADIATION CAN ANTARCTIC BENTHIC MARINE DIATOMS COPE WITH?</t>
  </si>
  <si>
    <t>[Wulff, A.] Univ Gothenburg, SE-40530 Gothenburg, Sweden; [Zacher, K.; Wiencke, C.] AWI, Bremerhaven, Germany; [Hanelt, D.] Univ Hamburg, Biozentrum Klein Flottbek, Hamburg, Germany</t>
  </si>
  <si>
    <t>University of Gothenburg; Helmholtz Association; Alfred Wegener Institute, Helmholtz Centre for Polar &amp; Marine Research; University of Hamburg</t>
  </si>
  <si>
    <t>angela.wulff@marbot.gu.se</t>
  </si>
  <si>
    <t>WOS:000205501500272</t>
  </si>
  <si>
    <t>Boedeker, C; Karsten, U</t>
  </si>
  <si>
    <t>The occurrence of mycosporine-like amino acids in the gametophytic and sporophytic stages of Bangia (Bangiales, Rhodophyta)</t>
  </si>
  <si>
    <t>ULTRAVIOLET-RADIATION; UV-RADIATION; ABSORBING SUBSTANCES; ANTARCTIC MACROALGAE; PORPHYRA-UMBILICALIS; CHONDRUS-CRISPUS; MARINE ORGANISMS; DEPTH; PHOTOINHIBITION; PHOTOSYNTHESIS</t>
  </si>
  <si>
    <t>Ultraviolet-absorbing mycosporine-like amino acids (MAAs) were identified and quantified in both the gametophytic and sporophytic life stages of the cosmopolitan intertidal genus Bangia. Field samples were compared with culture material originating from different biogeographic regions, including freshwater populations. All cultures were kept for a long time under low-irradiance conditions prior to MAA analysis. Within all isolates investigated, four distinct compounds were found which were identified as shinorine, porphyra-334, asterina-330 and palythine. Gametophytic filaments always exhibited high concentrations of MAAs, with porphyra-334 being the dominant compound. Field and culture material did not differ in the amount of MAAs, indicating that Bangia does not adjust the amount of sunscreens to environmental conditions. Freshwater isolates contained lower amounts of MAAs compared to marine strains. However, a biogeographical trend in MAA contents reflecting the origin of the samples from habitats with different climate and insolation was not observed. Even the shell-boring sporophytic conchocelis stage contained significant amounts of MAAs, but in lower concentrations than the gametophytes, raising the possibility of MAAs fulfiling different functions in the two life stages.</t>
  </si>
  <si>
    <t>Leiden Univ Branch, Natl Herbarium Netherlands, NL-2300 RA Leiden, Netherlands; Univ Rostock, Dept Biol Sci Appl Ecol, D-18051 Rostock, Germany</t>
  </si>
  <si>
    <t>Leiden University - Excl LUMC; Leiden University; University of Rostock</t>
  </si>
  <si>
    <t>Boedeker, C (corresponding author), Leiden Univ Branch, Natl Herbarium Netherlands, POB 9514, NL-2300 RA Leiden, Netherlands.</t>
  </si>
  <si>
    <t>boedeker@nhn.leidenuniv.nl</t>
  </si>
  <si>
    <t>2330-2968</t>
  </si>
  <si>
    <t>10.2216/0031-8884(2005)44[403:TOOMAA]2.0.CO;2</t>
  </si>
  <si>
    <t>948KM</t>
  </si>
  <si>
    <t>WOS:000230714700006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</si>
</sst>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74</v>
      </c>
      <c r="P2" t="s">
        <v>74</v>
      </c>
      <c r="Q2" t="s">
        <v>74</v>
      </c>
      <c r="R2" t="s">
        <v>74</v>
      </c>
      <c r="S2" t="s">
        <v>74</v>
      </c>
      <c r="T2" t="s">
        <v>79</v>
      </c>
      <c r="U2" t="s">
        <v>80</v>
      </c>
      <c r="V2" t="s">
        <v>81</v>
      </c>
      <c r="W2" t="s">
        <v>82</v>
      </c>
      <c r="X2" t="s">
        <v>83</v>
      </c>
      <c r="Y2" t="s">
        <v>84</v>
      </c>
      <c r="Z2" t="s">
        <v>85</v>
      </c>
      <c r="AA2" t="s">
        <v>86</v>
      </c>
      <c r="AB2" t="s">
        <v>87</v>
      </c>
      <c r="AC2" t="s">
        <v>74</v>
      </c>
      <c r="AD2" t="s">
        <v>74</v>
      </c>
      <c r="AE2" t="s">
        <v>74</v>
      </c>
      <c r="AF2" t="s">
        <v>74</v>
      </c>
      <c r="AG2">
        <v>38</v>
      </c>
      <c r="AH2">
        <v>113</v>
      </c>
      <c r="AI2">
        <v>118</v>
      </c>
      <c r="AJ2">
        <v>1</v>
      </c>
      <c r="AK2">
        <v>67</v>
      </c>
      <c r="AL2" t="s">
        <v>88</v>
      </c>
      <c r="AM2" t="s">
        <v>89</v>
      </c>
      <c r="AN2" t="s">
        <v>90</v>
      </c>
      <c r="AO2" t="s">
        <v>91</v>
      </c>
      <c r="AP2" t="s">
        <v>92</v>
      </c>
      <c r="AQ2" t="s">
        <v>74</v>
      </c>
      <c r="AR2" t="s">
        <v>93</v>
      </c>
      <c r="AS2" t="s">
        <v>94</v>
      </c>
      <c r="AT2" t="s">
        <v>95</v>
      </c>
      <c r="AU2">
        <v>2006</v>
      </c>
      <c r="AV2">
        <v>59</v>
      </c>
      <c r="AW2">
        <v>3</v>
      </c>
      <c r="AX2" t="s">
        <v>74</v>
      </c>
      <c r="AY2" t="s">
        <v>74</v>
      </c>
      <c r="AZ2" t="s">
        <v>74</v>
      </c>
      <c r="BA2" t="s">
        <v>74</v>
      </c>
      <c r="BB2">
        <v>381</v>
      </c>
      <c r="BC2">
        <v>388</v>
      </c>
      <c r="BD2" t="s">
        <v>74</v>
      </c>
      <c r="BE2" t="s">
        <v>96</v>
      </c>
      <c r="BF2" t="str">
        <f>HYPERLINK("http://dx.doi.org/10.1007/s00265-005-0061-4","http://dx.doi.org/10.1007/s00265-005-0061-4")</f>
        <v>http://dx.doi.org/10.1007/s00265-005-0061-4</v>
      </c>
      <c r="BG2" t="s">
        <v>74</v>
      </c>
      <c r="BH2" t="s">
        <v>74</v>
      </c>
      <c r="BI2">
        <v>8</v>
      </c>
      <c r="BJ2" t="s">
        <v>97</v>
      </c>
      <c r="BK2" t="s">
        <v>98</v>
      </c>
      <c r="BL2" t="s">
        <v>99</v>
      </c>
      <c r="BM2" t="s">
        <v>100</v>
      </c>
      <c r="BN2" t="s">
        <v>74</v>
      </c>
      <c r="BO2" t="s">
        <v>74</v>
      </c>
      <c r="BP2" t="s">
        <v>74</v>
      </c>
      <c r="BQ2" t="s">
        <v>74</v>
      </c>
      <c r="BR2" t="s">
        <v>101</v>
      </c>
      <c r="BS2" t="s">
        <v>102</v>
      </c>
      <c r="BT2" t="str">
        <f>HYPERLINK("https%3A%2F%2Fwww.webofscience.com%2Fwos%2Fwoscc%2Ffull-record%2FWOS:000234600500006","View Full Record in Web of Science")</f>
        <v>View Full Record in Web of Science</v>
      </c>
    </row>
    <row r="3" spans="1:72" x14ac:dyDescent="0.15">
      <c r="A3" t="s">
        <v>72</v>
      </c>
      <c r="B3" t="s">
        <v>103</v>
      </c>
      <c r="C3" t="s">
        <v>74</v>
      </c>
      <c r="D3" t="s">
        <v>74</v>
      </c>
      <c r="E3" t="s">
        <v>74</v>
      </c>
      <c r="F3" t="s">
        <v>103</v>
      </c>
      <c r="G3" t="s">
        <v>74</v>
      </c>
      <c r="H3" t="s">
        <v>74</v>
      </c>
      <c r="I3" t="s">
        <v>104</v>
      </c>
      <c r="J3" t="s">
        <v>105</v>
      </c>
      <c r="K3" t="s">
        <v>74</v>
      </c>
      <c r="L3" t="s">
        <v>74</v>
      </c>
      <c r="M3" t="s">
        <v>77</v>
      </c>
      <c r="N3" t="s">
        <v>78</v>
      </c>
      <c r="O3" t="s">
        <v>74</v>
      </c>
      <c r="P3" t="s">
        <v>74</v>
      </c>
      <c r="Q3" t="s">
        <v>74</v>
      </c>
      <c r="R3" t="s">
        <v>74</v>
      </c>
      <c r="S3" t="s">
        <v>74</v>
      </c>
      <c r="T3" t="s">
        <v>106</v>
      </c>
      <c r="U3" t="s">
        <v>107</v>
      </c>
      <c r="V3" t="s">
        <v>108</v>
      </c>
      <c r="W3" t="s">
        <v>109</v>
      </c>
      <c r="X3" t="s">
        <v>110</v>
      </c>
      <c r="Y3" t="s">
        <v>111</v>
      </c>
      <c r="Z3" t="s">
        <v>112</v>
      </c>
      <c r="AA3" t="s">
        <v>113</v>
      </c>
      <c r="AB3" t="s">
        <v>114</v>
      </c>
      <c r="AC3" t="s">
        <v>74</v>
      </c>
      <c r="AD3" t="s">
        <v>74</v>
      </c>
      <c r="AE3" t="s">
        <v>74</v>
      </c>
      <c r="AF3" t="s">
        <v>74</v>
      </c>
      <c r="AG3">
        <v>18</v>
      </c>
      <c r="AH3">
        <v>17</v>
      </c>
      <c r="AI3">
        <v>23</v>
      </c>
      <c r="AJ3">
        <v>0</v>
      </c>
      <c r="AK3">
        <v>9</v>
      </c>
      <c r="AL3" t="s">
        <v>115</v>
      </c>
      <c r="AM3" t="s">
        <v>89</v>
      </c>
      <c r="AN3" t="s">
        <v>116</v>
      </c>
      <c r="AO3" t="s">
        <v>117</v>
      </c>
      <c r="AP3" t="s">
        <v>118</v>
      </c>
      <c r="AQ3" t="s">
        <v>74</v>
      </c>
      <c r="AR3" t="s">
        <v>119</v>
      </c>
      <c r="AS3" t="s">
        <v>120</v>
      </c>
      <c r="AT3" t="s">
        <v>74</v>
      </c>
      <c r="AU3">
        <v>2006</v>
      </c>
      <c r="AV3">
        <v>71</v>
      </c>
      <c r="AW3" t="s">
        <v>74</v>
      </c>
      <c r="AX3" t="s">
        <v>74</v>
      </c>
      <c r="AY3">
        <v>1</v>
      </c>
      <c r="AZ3" t="s">
        <v>74</v>
      </c>
      <c r="BA3" t="s">
        <v>74</v>
      </c>
      <c r="BB3" t="s">
        <v>121</v>
      </c>
      <c r="BC3" t="s">
        <v>122</v>
      </c>
      <c r="BD3" t="s">
        <v>74</v>
      </c>
      <c r="BE3" t="s">
        <v>123</v>
      </c>
      <c r="BF3" t="str">
        <f>HYPERLINK("http://dx.doi.org/10.1134/S0006297906130098","http://dx.doi.org/10.1134/S0006297906130098")</f>
        <v>http://dx.doi.org/10.1134/S0006297906130098</v>
      </c>
      <c r="BG3" t="s">
        <v>74</v>
      </c>
      <c r="BH3" t="s">
        <v>74</v>
      </c>
      <c r="BI3">
        <v>5</v>
      </c>
      <c r="BJ3" t="s">
        <v>124</v>
      </c>
      <c r="BK3" t="s">
        <v>98</v>
      </c>
      <c r="BL3" t="s">
        <v>124</v>
      </c>
      <c r="BM3" t="s">
        <v>125</v>
      </c>
      <c r="BN3">
        <v>16487069</v>
      </c>
      <c r="BO3" t="s">
        <v>74</v>
      </c>
      <c r="BP3" t="s">
        <v>74</v>
      </c>
      <c r="BQ3" t="s">
        <v>74</v>
      </c>
      <c r="BR3" t="s">
        <v>101</v>
      </c>
      <c r="BS3" t="s">
        <v>126</v>
      </c>
      <c r="BT3" t="str">
        <f>HYPERLINK("https%3A%2F%2Fwww.webofscience.com%2Fwos%2Fwoscc%2Ffull-record%2FWOS:000236212300009","View Full Record in Web of Science")</f>
        <v>View Full Record in Web of Science</v>
      </c>
    </row>
    <row r="4" spans="1:72" x14ac:dyDescent="0.15">
      <c r="A4" t="s">
        <v>72</v>
      </c>
      <c r="B4" t="s">
        <v>127</v>
      </c>
      <c r="C4" t="s">
        <v>74</v>
      </c>
      <c r="D4" t="s">
        <v>74</v>
      </c>
      <c r="E4" t="s">
        <v>74</v>
      </c>
      <c r="F4" t="s">
        <v>127</v>
      </c>
      <c r="G4" t="s">
        <v>74</v>
      </c>
      <c r="H4" t="s">
        <v>74</v>
      </c>
      <c r="I4" t="s">
        <v>128</v>
      </c>
      <c r="J4" t="s">
        <v>129</v>
      </c>
      <c r="K4" t="s">
        <v>74</v>
      </c>
      <c r="L4" t="s">
        <v>74</v>
      </c>
      <c r="M4" t="s">
        <v>77</v>
      </c>
      <c r="N4" t="s">
        <v>78</v>
      </c>
      <c r="O4" t="s">
        <v>74</v>
      </c>
      <c r="P4" t="s">
        <v>74</v>
      </c>
      <c r="Q4" t="s">
        <v>74</v>
      </c>
      <c r="R4" t="s">
        <v>74</v>
      </c>
      <c r="S4" t="s">
        <v>74</v>
      </c>
      <c r="T4" t="s">
        <v>130</v>
      </c>
      <c r="U4" t="s">
        <v>131</v>
      </c>
      <c r="V4" t="s">
        <v>132</v>
      </c>
      <c r="W4" t="s">
        <v>133</v>
      </c>
      <c r="X4" t="s">
        <v>134</v>
      </c>
      <c r="Y4" t="s">
        <v>135</v>
      </c>
      <c r="Z4" t="s">
        <v>136</v>
      </c>
      <c r="AA4" t="s">
        <v>137</v>
      </c>
      <c r="AB4" t="s">
        <v>138</v>
      </c>
      <c r="AC4" t="s">
        <v>74</v>
      </c>
      <c r="AD4" t="s">
        <v>74</v>
      </c>
      <c r="AE4" t="s">
        <v>74</v>
      </c>
      <c r="AF4" t="s">
        <v>74</v>
      </c>
      <c r="AG4">
        <v>19</v>
      </c>
      <c r="AH4">
        <v>47</v>
      </c>
      <c r="AI4">
        <v>52</v>
      </c>
      <c r="AJ4">
        <v>0</v>
      </c>
      <c r="AK4">
        <v>11</v>
      </c>
      <c r="AL4" t="s">
        <v>139</v>
      </c>
      <c r="AM4" t="s">
        <v>140</v>
      </c>
      <c r="AN4" t="s">
        <v>141</v>
      </c>
      <c r="AO4" t="s">
        <v>142</v>
      </c>
      <c r="AP4" t="s">
        <v>74</v>
      </c>
      <c r="AQ4" t="s">
        <v>74</v>
      </c>
      <c r="AR4" t="s">
        <v>143</v>
      </c>
      <c r="AS4" t="s">
        <v>144</v>
      </c>
      <c r="AT4" t="s">
        <v>95</v>
      </c>
      <c r="AU4">
        <v>2006</v>
      </c>
      <c r="AV4">
        <v>127</v>
      </c>
      <c r="AW4">
        <v>1</v>
      </c>
      <c r="AX4" t="s">
        <v>74</v>
      </c>
      <c r="AY4" t="s">
        <v>74</v>
      </c>
      <c r="AZ4" t="s">
        <v>74</v>
      </c>
      <c r="BA4" t="s">
        <v>74</v>
      </c>
      <c r="BB4">
        <v>27</v>
      </c>
      <c r="BC4">
        <v>36</v>
      </c>
      <c r="BD4" t="s">
        <v>74</v>
      </c>
      <c r="BE4" t="s">
        <v>145</v>
      </c>
      <c r="BF4" t="str">
        <f>HYPERLINK("http://dx.doi.org/10.1016/j.biocon.2005.07.011","http://dx.doi.org/10.1016/j.biocon.2005.07.011")</f>
        <v>http://dx.doi.org/10.1016/j.biocon.2005.07.011</v>
      </c>
      <c r="BG4" t="s">
        <v>74</v>
      </c>
      <c r="BH4" t="s">
        <v>74</v>
      </c>
      <c r="BI4">
        <v>10</v>
      </c>
      <c r="BJ4" t="s">
        <v>146</v>
      </c>
      <c r="BK4" t="s">
        <v>98</v>
      </c>
      <c r="BL4" t="s">
        <v>147</v>
      </c>
      <c r="BM4" t="s">
        <v>148</v>
      </c>
      <c r="BN4" t="s">
        <v>74</v>
      </c>
      <c r="BO4" t="s">
        <v>74</v>
      </c>
      <c r="BP4" t="s">
        <v>74</v>
      </c>
      <c r="BQ4" t="s">
        <v>74</v>
      </c>
      <c r="BR4" t="s">
        <v>101</v>
      </c>
      <c r="BS4" t="s">
        <v>149</v>
      </c>
      <c r="BT4" t="str">
        <f>HYPERLINK("https%3A%2F%2Fwww.webofscience.com%2Fwos%2Fwoscc%2Ffull-record%2FWOS:000233704400003","View Full Record in Web of Science")</f>
        <v>View Full Record in Web of Science</v>
      </c>
    </row>
    <row r="5" spans="1:72" x14ac:dyDescent="0.15">
      <c r="A5" t="s">
        <v>72</v>
      </c>
      <c r="B5" t="s">
        <v>150</v>
      </c>
      <c r="C5" t="s">
        <v>74</v>
      </c>
      <c r="D5" t="s">
        <v>74</v>
      </c>
      <c r="E5" t="s">
        <v>74</v>
      </c>
      <c r="F5" t="s">
        <v>150</v>
      </c>
      <c r="G5" t="s">
        <v>74</v>
      </c>
      <c r="H5" t="s">
        <v>74</v>
      </c>
      <c r="I5" t="s">
        <v>151</v>
      </c>
      <c r="J5" t="s">
        <v>152</v>
      </c>
      <c r="K5" t="s">
        <v>74</v>
      </c>
      <c r="L5" t="s">
        <v>74</v>
      </c>
      <c r="M5" t="s">
        <v>77</v>
      </c>
      <c r="N5" t="s">
        <v>78</v>
      </c>
      <c r="O5" t="s">
        <v>74</v>
      </c>
      <c r="P5" t="s">
        <v>74</v>
      </c>
      <c r="Q5" t="s">
        <v>74</v>
      </c>
      <c r="R5" t="s">
        <v>74</v>
      </c>
      <c r="S5" t="s">
        <v>74</v>
      </c>
      <c r="T5" t="s">
        <v>153</v>
      </c>
      <c r="U5" t="s">
        <v>154</v>
      </c>
      <c r="V5" t="s">
        <v>155</v>
      </c>
      <c r="W5" t="s">
        <v>156</v>
      </c>
      <c r="X5" t="s">
        <v>157</v>
      </c>
      <c r="Y5" t="s">
        <v>158</v>
      </c>
      <c r="Z5" t="s">
        <v>159</v>
      </c>
      <c r="AA5" t="s">
        <v>160</v>
      </c>
      <c r="AB5" t="s">
        <v>161</v>
      </c>
      <c r="AC5" t="s">
        <v>74</v>
      </c>
      <c r="AD5" t="s">
        <v>74</v>
      </c>
      <c r="AE5" t="s">
        <v>74</v>
      </c>
      <c r="AF5" t="s">
        <v>74</v>
      </c>
      <c r="AG5">
        <v>15</v>
      </c>
      <c r="AH5">
        <v>30</v>
      </c>
      <c r="AI5">
        <v>31</v>
      </c>
      <c r="AJ5">
        <v>0</v>
      </c>
      <c r="AK5">
        <v>15</v>
      </c>
      <c r="AL5" t="s">
        <v>88</v>
      </c>
      <c r="AM5" t="s">
        <v>162</v>
      </c>
      <c r="AN5" t="s">
        <v>163</v>
      </c>
      <c r="AO5" t="s">
        <v>164</v>
      </c>
      <c r="AP5" t="s">
        <v>165</v>
      </c>
      <c r="AQ5" t="s">
        <v>74</v>
      </c>
      <c r="AR5" t="s">
        <v>166</v>
      </c>
      <c r="AS5" t="s">
        <v>167</v>
      </c>
      <c r="AT5" t="s">
        <v>95</v>
      </c>
      <c r="AU5">
        <v>2006</v>
      </c>
      <c r="AV5">
        <v>28</v>
      </c>
      <c r="AW5">
        <v>2</v>
      </c>
      <c r="AX5" t="s">
        <v>74</v>
      </c>
      <c r="AY5" t="s">
        <v>74</v>
      </c>
      <c r="AZ5" t="s">
        <v>74</v>
      </c>
      <c r="BA5" t="s">
        <v>74</v>
      </c>
      <c r="BB5">
        <v>85</v>
      </c>
      <c r="BC5">
        <v>88</v>
      </c>
      <c r="BD5" t="s">
        <v>74</v>
      </c>
      <c r="BE5" t="s">
        <v>168</v>
      </c>
      <c r="BF5" t="str">
        <f>HYPERLINK("http://dx.doi.org/10.1007/s10529-005-4951-3","http://dx.doi.org/10.1007/s10529-005-4951-3")</f>
        <v>http://dx.doi.org/10.1007/s10529-005-4951-3</v>
      </c>
      <c r="BG5" t="s">
        <v>74</v>
      </c>
      <c r="BH5" t="s">
        <v>74</v>
      </c>
      <c r="BI5">
        <v>4</v>
      </c>
      <c r="BJ5" t="s">
        <v>169</v>
      </c>
      <c r="BK5" t="s">
        <v>98</v>
      </c>
      <c r="BL5" t="s">
        <v>169</v>
      </c>
      <c r="BM5" t="s">
        <v>170</v>
      </c>
      <c r="BN5">
        <v>16369690</v>
      </c>
      <c r="BO5" t="s">
        <v>74</v>
      </c>
      <c r="BP5" t="s">
        <v>74</v>
      </c>
      <c r="BQ5" t="s">
        <v>74</v>
      </c>
      <c r="BR5" t="s">
        <v>101</v>
      </c>
      <c r="BS5" t="s">
        <v>171</v>
      </c>
      <c r="BT5" t="str">
        <f>HYPERLINK("https%3A%2F%2Fwww.webofscience.com%2Fwos%2Fwoscc%2Ffull-record%2FWOS:000234143900004","View Full Record in Web of Science")</f>
        <v>View Full Record in Web of Science</v>
      </c>
    </row>
    <row r="6" spans="1:72" x14ac:dyDescent="0.15">
      <c r="A6" t="s">
        <v>72</v>
      </c>
      <c r="B6" t="s">
        <v>172</v>
      </c>
      <c r="C6" t="s">
        <v>74</v>
      </c>
      <c r="D6" t="s">
        <v>74</v>
      </c>
      <c r="E6" t="s">
        <v>74</v>
      </c>
      <c r="F6" t="s">
        <v>172</v>
      </c>
      <c r="G6" t="s">
        <v>74</v>
      </c>
      <c r="H6" t="s">
        <v>74</v>
      </c>
      <c r="I6" t="s">
        <v>173</v>
      </c>
      <c r="J6" t="s">
        <v>174</v>
      </c>
      <c r="K6" t="s">
        <v>74</v>
      </c>
      <c r="L6" t="s">
        <v>74</v>
      </c>
      <c r="M6" t="s">
        <v>77</v>
      </c>
      <c r="N6" t="s">
        <v>78</v>
      </c>
      <c r="O6" t="s">
        <v>74</v>
      </c>
      <c r="P6" t="s">
        <v>74</v>
      </c>
      <c r="Q6" t="s">
        <v>74</v>
      </c>
      <c r="R6" t="s">
        <v>74</v>
      </c>
      <c r="S6" t="s">
        <v>74</v>
      </c>
      <c r="T6" t="s">
        <v>74</v>
      </c>
      <c r="U6" t="s">
        <v>175</v>
      </c>
      <c r="V6" t="s">
        <v>74</v>
      </c>
      <c r="W6" t="s">
        <v>176</v>
      </c>
      <c r="X6" t="s">
        <v>177</v>
      </c>
      <c r="Y6" t="s">
        <v>178</v>
      </c>
      <c r="Z6" t="s">
        <v>74</v>
      </c>
      <c r="AA6" t="s">
        <v>74</v>
      </c>
      <c r="AB6" t="s">
        <v>74</v>
      </c>
      <c r="AC6" t="s">
        <v>74</v>
      </c>
      <c r="AD6" t="s">
        <v>74</v>
      </c>
      <c r="AE6" t="s">
        <v>74</v>
      </c>
      <c r="AF6" t="s">
        <v>74</v>
      </c>
      <c r="AG6">
        <v>17</v>
      </c>
      <c r="AH6">
        <v>2</v>
      </c>
      <c r="AI6">
        <v>2</v>
      </c>
      <c r="AJ6">
        <v>0</v>
      </c>
      <c r="AK6">
        <v>11</v>
      </c>
      <c r="AL6" t="s">
        <v>88</v>
      </c>
      <c r="AM6" t="s">
        <v>89</v>
      </c>
      <c r="AN6" t="s">
        <v>90</v>
      </c>
      <c r="AO6" t="s">
        <v>179</v>
      </c>
      <c r="AP6" t="s">
        <v>180</v>
      </c>
      <c r="AQ6" t="s">
        <v>74</v>
      </c>
      <c r="AR6" t="s">
        <v>181</v>
      </c>
      <c r="AS6" t="s">
        <v>182</v>
      </c>
      <c r="AT6" t="s">
        <v>95</v>
      </c>
      <c r="AU6">
        <v>2006</v>
      </c>
      <c r="AV6">
        <v>76</v>
      </c>
      <c r="AW6">
        <v>1</v>
      </c>
      <c r="AX6" t="s">
        <v>74</v>
      </c>
      <c r="AY6" t="s">
        <v>74</v>
      </c>
      <c r="AZ6" t="s">
        <v>74</v>
      </c>
      <c r="BA6" t="s">
        <v>74</v>
      </c>
      <c r="BB6">
        <v>140</v>
      </c>
      <c r="BC6">
        <v>147</v>
      </c>
      <c r="BD6" t="s">
        <v>74</v>
      </c>
      <c r="BE6" t="s">
        <v>183</v>
      </c>
      <c r="BF6" t="str">
        <f>HYPERLINK("http://dx.doi.org/10.1007/s00128-005-0900-z","http://dx.doi.org/10.1007/s00128-005-0900-z")</f>
        <v>http://dx.doi.org/10.1007/s00128-005-0900-z</v>
      </c>
      <c r="BG6" t="s">
        <v>74</v>
      </c>
      <c r="BH6" t="s">
        <v>74</v>
      </c>
      <c r="BI6">
        <v>8</v>
      </c>
      <c r="BJ6" t="s">
        <v>184</v>
      </c>
      <c r="BK6" t="s">
        <v>98</v>
      </c>
      <c r="BL6" t="s">
        <v>185</v>
      </c>
      <c r="BM6" t="s">
        <v>186</v>
      </c>
      <c r="BN6">
        <v>16404672</v>
      </c>
      <c r="BO6" t="s">
        <v>74</v>
      </c>
      <c r="BP6" t="s">
        <v>74</v>
      </c>
      <c r="BQ6" t="s">
        <v>74</v>
      </c>
      <c r="BR6" t="s">
        <v>101</v>
      </c>
      <c r="BS6" t="s">
        <v>187</v>
      </c>
      <c r="BT6" t="str">
        <f>HYPERLINK("https%3A%2F%2Fwww.webofscience.com%2Fwos%2Fwoscc%2Ffull-record%2FWOS:000234344100019","View Full Record in Web of Science")</f>
        <v>View Full Record in Web of Science</v>
      </c>
    </row>
    <row r="7" spans="1:72" x14ac:dyDescent="0.15">
      <c r="A7" t="s">
        <v>72</v>
      </c>
      <c r="B7" t="s">
        <v>188</v>
      </c>
      <c r="C7" t="s">
        <v>74</v>
      </c>
      <c r="D7" t="s">
        <v>74</v>
      </c>
      <c r="E7" t="s">
        <v>74</v>
      </c>
      <c r="F7" t="s">
        <v>189</v>
      </c>
      <c r="G7" t="s">
        <v>74</v>
      </c>
      <c r="H7" t="s">
        <v>74</v>
      </c>
      <c r="I7" t="s">
        <v>190</v>
      </c>
      <c r="J7" t="s">
        <v>191</v>
      </c>
      <c r="K7" t="s">
        <v>74</v>
      </c>
      <c r="L7" t="s">
        <v>74</v>
      </c>
      <c r="M7" t="s">
        <v>77</v>
      </c>
      <c r="N7" t="s">
        <v>78</v>
      </c>
      <c r="O7" t="s">
        <v>74</v>
      </c>
      <c r="P7" t="s">
        <v>74</v>
      </c>
      <c r="Q7" t="s">
        <v>74</v>
      </c>
      <c r="R7" t="s">
        <v>74</v>
      </c>
      <c r="S7" t="s">
        <v>74</v>
      </c>
      <c r="T7" t="s">
        <v>192</v>
      </c>
      <c r="U7" t="s">
        <v>193</v>
      </c>
      <c r="V7" t="s">
        <v>194</v>
      </c>
      <c r="W7" t="s">
        <v>195</v>
      </c>
      <c r="X7" t="s">
        <v>196</v>
      </c>
      <c r="Y7" t="s">
        <v>197</v>
      </c>
      <c r="Z7" t="s">
        <v>198</v>
      </c>
      <c r="AA7" t="s">
        <v>199</v>
      </c>
      <c r="AB7" t="s">
        <v>200</v>
      </c>
      <c r="AC7" t="s">
        <v>74</v>
      </c>
      <c r="AD7" t="s">
        <v>74</v>
      </c>
      <c r="AE7" t="s">
        <v>74</v>
      </c>
      <c r="AF7" t="s">
        <v>74</v>
      </c>
      <c r="AG7">
        <v>32</v>
      </c>
      <c r="AH7">
        <v>13</v>
      </c>
      <c r="AI7">
        <v>15</v>
      </c>
      <c r="AJ7">
        <v>0</v>
      </c>
      <c r="AK7">
        <v>3</v>
      </c>
      <c r="AL7" t="s">
        <v>191</v>
      </c>
      <c r="AM7" t="s">
        <v>201</v>
      </c>
      <c r="AN7" t="s">
        <v>202</v>
      </c>
      <c r="AO7" t="s">
        <v>203</v>
      </c>
      <c r="AP7" t="s">
        <v>74</v>
      </c>
      <c r="AQ7" t="s">
        <v>74</v>
      </c>
      <c r="AR7" t="s">
        <v>204</v>
      </c>
      <c r="AS7" t="s">
        <v>205</v>
      </c>
      <c r="AT7" t="s">
        <v>74</v>
      </c>
      <c r="AU7">
        <v>2006</v>
      </c>
      <c r="AV7">
        <v>47</v>
      </c>
      <c r="AW7">
        <v>2</v>
      </c>
      <c r="AX7" t="s">
        <v>74</v>
      </c>
      <c r="AY7" t="s">
        <v>74</v>
      </c>
      <c r="AZ7" t="s">
        <v>74</v>
      </c>
      <c r="BA7" t="s">
        <v>74</v>
      </c>
      <c r="BB7">
        <v>189</v>
      </c>
      <c r="BC7">
        <v>203</v>
      </c>
      <c r="BD7" t="s">
        <v>74</v>
      </c>
      <c r="BE7" t="s">
        <v>74</v>
      </c>
      <c r="BF7" t="s">
        <v>74</v>
      </c>
      <c r="BG7" t="s">
        <v>74</v>
      </c>
      <c r="BH7" t="s">
        <v>74</v>
      </c>
      <c r="BI7">
        <v>15</v>
      </c>
      <c r="BJ7" t="s">
        <v>206</v>
      </c>
      <c r="BK7" t="s">
        <v>98</v>
      </c>
      <c r="BL7" t="s">
        <v>206</v>
      </c>
      <c r="BM7" t="s">
        <v>207</v>
      </c>
      <c r="BN7" t="s">
        <v>74</v>
      </c>
      <c r="BO7" t="s">
        <v>74</v>
      </c>
      <c r="BP7" t="s">
        <v>74</v>
      </c>
      <c r="BQ7" t="s">
        <v>74</v>
      </c>
      <c r="BR7" t="s">
        <v>101</v>
      </c>
      <c r="BS7" t="s">
        <v>208</v>
      </c>
      <c r="BT7" t="str">
        <f>HYPERLINK("https%3A%2F%2Fwww.webofscience.com%2Fwos%2Fwoscc%2Ffull-record%2FWOS:000239054300006","View Full Record in Web of Science")</f>
        <v>View Full Record in Web of Science</v>
      </c>
    </row>
    <row r="8" spans="1:72" x14ac:dyDescent="0.15">
      <c r="A8" t="s">
        <v>72</v>
      </c>
      <c r="B8" t="s">
        <v>209</v>
      </c>
      <c r="C8" t="s">
        <v>74</v>
      </c>
      <c r="D8" t="s">
        <v>74</v>
      </c>
      <c r="E8" t="s">
        <v>74</v>
      </c>
      <c r="F8" t="s">
        <v>210</v>
      </c>
      <c r="G8" t="s">
        <v>74</v>
      </c>
      <c r="H8" t="s">
        <v>74</v>
      </c>
      <c r="I8" t="s">
        <v>211</v>
      </c>
      <c r="J8" t="s">
        <v>212</v>
      </c>
      <c r="K8" t="s">
        <v>74</v>
      </c>
      <c r="L8" t="s">
        <v>74</v>
      </c>
      <c r="M8" t="s">
        <v>77</v>
      </c>
      <c r="N8" t="s">
        <v>78</v>
      </c>
      <c r="O8" t="s">
        <v>74</v>
      </c>
      <c r="P8" t="s">
        <v>74</v>
      </c>
      <c r="Q8" t="s">
        <v>74</v>
      </c>
      <c r="R8" t="s">
        <v>74</v>
      </c>
      <c r="S8" t="s">
        <v>74</v>
      </c>
      <c r="T8" t="s">
        <v>213</v>
      </c>
      <c r="U8" t="s">
        <v>214</v>
      </c>
      <c r="V8" t="s">
        <v>215</v>
      </c>
      <c r="W8" t="s">
        <v>216</v>
      </c>
      <c r="X8" t="s">
        <v>74</v>
      </c>
      <c r="Y8" t="s">
        <v>217</v>
      </c>
      <c r="Z8" t="s">
        <v>218</v>
      </c>
      <c r="AA8" t="s">
        <v>74</v>
      </c>
      <c r="AB8" t="s">
        <v>74</v>
      </c>
      <c r="AC8" t="s">
        <v>74</v>
      </c>
      <c r="AD8" t="s">
        <v>74</v>
      </c>
      <c r="AE8" t="s">
        <v>74</v>
      </c>
      <c r="AF8" t="s">
        <v>74</v>
      </c>
      <c r="AG8">
        <v>15</v>
      </c>
      <c r="AH8">
        <v>19</v>
      </c>
      <c r="AI8">
        <v>21</v>
      </c>
      <c r="AJ8">
        <v>0</v>
      </c>
      <c r="AK8">
        <v>9</v>
      </c>
      <c r="AL8" t="s">
        <v>219</v>
      </c>
      <c r="AM8" t="s">
        <v>220</v>
      </c>
      <c r="AN8" t="s">
        <v>221</v>
      </c>
      <c r="AO8" t="s">
        <v>222</v>
      </c>
      <c r="AP8" t="s">
        <v>74</v>
      </c>
      <c r="AQ8" t="s">
        <v>74</v>
      </c>
      <c r="AR8" t="s">
        <v>223</v>
      </c>
      <c r="AS8" t="s">
        <v>224</v>
      </c>
      <c r="AT8" t="s">
        <v>74</v>
      </c>
      <c r="AU8">
        <v>2006</v>
      </c>
      <c r="AV8">
        <v>13</v>
      </c>
      <c r="AW8" t="s">
        <v>74</v>
      </c>
      <c r="AX8" t="s">
        <v>74</v>
      </c>
      <c r="AY8" t="s">
        <v>74</v>
      </c>
      <c r="AZ8" t="s">
        <v>74</v>
      </c>
      <c r="BA8" t="s">
        <v>74</v>
      </c>
      <c r="BB8">
        <v>27</v>
      </c>
      <c r="BC8">
        <v>45</v>
      </c>
      <c r="BD8" t="s">
        <v>74</v>
      </c>
      <c r="BE8" t="s">
        <v>74</v>
      </c>
      <c r="BF8" t="s">
        <v>74</v>
      </c>
      <c r="BG8" t="s">
        <v>74</v>
      </c>
      <c r="BH8" t="s">
        <v>74</v>
      </c>
      <c r="BI8">
        <v>19</v>
      </c>
      <c r="BJ8" t="s">
        <v>225</v>
      </c>
      <c r="BK8" t="s">
        <v>98</v>
      </c>
      <c r="BL8" t="s">
        <v>225</v>
      </c>
      <c r="BM8" t="s">
        <v>226</v>
      </c>
      <c r="BN8" t="s">
        <v>74</v>
      </c>
      <c r="BO8" t="s">
        <v>74</v>
      </c>
      <c r="BP8" t="s">
        <v>74</v>
      </c>
      <c r="BQ8" t="s">
        <v>74</v>
      </c>
      <c r="BR8" t="s">
        <v>101</v>
      </c>
      <c r="BS8" t="s">
        <v>227</v>
      </c>
      <c r="BT8" t="str">
        <f>HYPERLINK("https%3A%2F%2Fwww.webofscience.com%2Fwos%2Fwoscc%2Ffull-record%2FWOS:000242336000003","View Full Record in Web of Science")</f>
        <v>View Full Record in Web of Science</v>
      </c>
    </row>
    <row r="9" spans="1:72" x14ac:dyDescent="0.15">
      <c r="A9" t="s">
        <v>72</v>
      </c>
      <c r="B9" t="s">
        <v>228</v>
      </c>
      <c r="C9" t="s">
        <v>74</v>
      </c>
      <c r="D9" t="s">
        <v>74</v>
      </c>
      <c r="E9" t="s">
        <v>74</v>
      </c>
      <c r="F9" t="s">
        <v>229</v>
      </c>
      <c r="G9" t="s">
        <v>74</v>
      </c>
      <c r="H9" t="s">
        <v>74</v>
      </c>
      <c r="I9" t="s">
        <v>230</v>
      </c>
      <c r="J9" t="s">
        <v>212</v>
      </c>
      <c r="K9" t="s">
        <v>74</v>
      </c>
      <c r="L9" t="s">
        <v>74</v>
      </c>
      <c r="M9" t="s">
        <v>77</v>
      </c>
      <c r="N9" t="s">
        <v>78</v>
      </c>
      <c r="O9" t="s">
        <v>74</v>
      </c>
      <c r="P9" t="s">
        <v>74</v>
      </c>
      <c r="Q9" t="s">
        <v>74</v>
      </c>
      <c r="R9" t="s">
        <v>74</v>
      </c>
      <c r="S9" t="s">
        <v>74</v>
      </c>
      <c r="T9" t="s">
        <v>231</v>
      </c>
      <c r="U9" t="s">
        <v>232</v>
      </c>
      <c r="V9" t="s">
        <v>233</v>
      </c>
      <c r="W9" t="s">
        <v>234</v>
      </c>
      <c r="X9" t="s">
        <v>235</v>
      </c>
      <c r="Y9" t="s">
        <v>236</v>
      </c>
      <c r="Z9" t="s">
        <v>237</v>
      </c>
      <c r="AA9" t="s">
        <v>238</v>
      </c>
      <c r="AB9" t="s">
        <v>239</v>
      </c>
      <c r="AC9" t="s">
        <v>74</v>
      </c>
      <c r="AD9" t="s">
        <v>74</v>
      </c>
      <c r="AE9" t="s">
        <v>74</v>
      </c>
      <c r="AF9" t="s">
        <v>74</v>
      </c>
      <c r="AG9">
        <v>36</v>
      </c>
      <c r="AH9">
        <v>15</v>
      </c>
      <c r="AI9">
        <v>17</v>
      </c>
      <c r="AJ9">
        <v>0</v>
      </c>
      <c r="AK9">
        <v>5</v>
      </c>
      <c r="AL9" t="s">
        <v>219</v>
      </c>
      <c r="AM9" t="s">
        <v>220</v>
      </c>
      <c r="AN9" t="s">
        <v>221</v>
      </c>
      <c r="AO9" t="s">
        <v>222</v>
      </c>
      <c r="AP9" t="s">
        <v>74</v>
      </c>
      <c r="AQ9" t="s">
        <v>74</v>
      </c>
      <c r="AR9" t="s">
        <v>223</v>
      </c>
      <c r="AS9" t="s">
        <v>224</v>
      </c>
      <c r="AT9" t="s">
        <v>74</v>
      </c>
      <c r="AU9">
        <v>2006</v>
      </c>
      <c r="AV9">
        <v>13</v>
      </c>
      <c r="AW9" t="s">
        <v>74</v>
      </c>
      <c r="AX9" t="s">
        <v>74</v>
      </c>
      <c r="AY9" t="s">
        <v>74</v>
      </c>
      <c r="AZ9" t="s">
        <v>74</v>
      </c>
      <c r="BA9" t="s">
        <v>74</v>
      </c>
      <c r="BB9">
        <v>97</v>
      </c>
      <c r="BC9">
        <v>116</v>
      </c>
      <c r="BD9" t="s">
        <v>74</v>
      </c>
      <c r="BE9" t="s">
        <v>74</v>
      </c>
      <c r="BF9" t="s">
        <v>74</v>
      </c>
      <c r="BG9" t="s">
        <v>74</v>
      </c>
      <c r="BH9" t="s">
        <v>74</v>
      </c>
      <c r="BI9">
        <v>20</v>
      </c>
      <c r="BJ9" t="s">
        <v>225</v>
      </c>
      <c r="BK9" t="s">
        <v>98</v>
      </c>
      <c r="BL9" t="s">
        <v>225</v>
      </c>
      <c r="BM9" t="s">
        <v>226</v>
      </c>
      <c r="BN9" t="s">
        <v>74</v>
      </c>
      <c r="BO9" t="s">
        <v>74</v>
      </c>
      <c r="BP9" t="s">
        <v>74</v>
      </c>
      <c r="BQ9" t="s">
        <v>74</v>
      </c>
      <c r="BR9" t="s">
        <v>101</v>
      </c>
      <c r="BS9" t="s">
        <v>240</v>
      </c>
      <c r="BT9" t="str">
        <f>HYPERLINK("https%3A%2F%2Fwww.webofscience.com%2Fwos%2Fwoscc%2Ffull-record%2FWOS:000242336000006","View Full Record in Web of Science")</f>
        <v>View Full Record in Web of Science</v>
      </c>
    </row>
    <row r="10" spans="1:72" x14ac:dyDescent="0.15">
      <c r="A10" t="s">
        <v>72</v>
      </c>
      <c r="B10" t="s">
        <v>241</v>
      </c>
      <c r="C10" t="s">
        <v>74</v>
      </c>
      <c r="D10" t="s">
        <v>74</v>
      </c>
      <c r="E10" t="s">
        <v>74</v>
      </c>
      <c r="F10" t="s">
        <v>242</v>
      </c>
      <c r="G10" t="s">
        <v>74</v>
      </c>
      <c r="H10" t="s">
        <v>74</v>
      </c>
      <c r="I10" t="s">
        <v>243</v>
      </c>
      <c r="J10" t="s">
        <v>212</v>
      </c>
      <c r="K10" t="s">
        <v>74</v>
      </c>
      <c r="L10" t="s">
        <v>74</v>
      </c>
      <c r="M10" t="s">
        <v>77</v>
      </c>
      <c r="N10" t="s">
        <v>78</v>
      </c>
      <c r="O10" t="s">
        <v>74</v>
      </c>
      <c r="P10" t="s">
        <v>74</v>
      </c>
      <c r="Q10" t="s">
        <v>74</v>
      </c>
      <c r="R10" t="s">
        <v>74</v>
      </c>
      <c r="S10" t="s">
        <v>74</v>
      </c>
      <c r="T10" t="s">
        <v>244</v>
      </c>
      <c r="U10" t="s">
        <v>245</v>
      </c>
      <c r="V10" t="s">
        <v>246</v>
      </c>
      <c r="W10" t="s">
        <v>247</v>
      </c>
      <c r="X10" t="s">
        <v>248</v>
      </c>
      <c r="Y10" t="s">
        <v>249</v>
      </c>
      <c r="Z10" t="s">
        <v>250</v>
      </c>
      <c r="AA10" t="s">
        <v>251</v>
      </c>
      <c r="AB10" t="s">
        <v>252</v>
      </c>
      <c r="AC10" t="s">
        <v>74</v>
      </c>
      <c r="AD10" t="s">
        <v>74</v>
      </c>
      <c r="AE10" t="s">
        <v>74</v>
      </c>
      <c r="AF10" t="s">
        <v>74</v>
      </c>
      <c r="AG10">
        <v>26</v>
      </c>
      <c r="AH10">
        <v>24</v>
      </c>
      <c r="AI10">
        <v>34</v>
      </c>
      <c r="AJ10">
        <v>0</v>
      </c>
      <c r="AK10">
        <v>5</v>
      </c>
      <c r="AL10" t="s">
        <v>219</v>
      </c>
      <c r="AM10" t="s">
        <v>220</v>
      </c>
      <c r="AN10" t="s">
        <v>221</v>
      </c>
      <c r="AO10" t="s">
        <v>222</v>
      </c>
      <c r="AP10" t="s">
        <v>74</v>
      </c>
      <c r="AQ10" t="s">
        <v>74</v>
      </c>
      <c r="AR10" t="s">
        <v>223</v>
      </c>
      <c r="AS10" t="s">
        <v>224</v>
      </c>
      <c r="AT10" t="s">
        <v>74</v>
      </c>
      <c r="AU10">
        <v>2006</v>
      </c>
      <c r="AV10">
        <v>13</v>
      </c>
      <c r="AW10" t="s">
        <v>74</v>
      </c>
      <c r="AX10" t="s">
        <v>74</v>
      </c>
      <c r="AY10" t="s">
        <v>74</v>
      </c>
      <c r="AZ10" t="s">
        <v>74</v>
      </c>
      <c r="BA10" t="s">
        <v>74</v>
      </c>
      <c r="BB10">
        <v>117</v>
      </c>
      <c r="BC10">
        <v>141</v>
      </c>
      <c r="BD10" t="s">
        <v>74</v>
      </c>
      <c r="BE10" t="s">
        <v>74</v>
      </c>
      <c r="BF10" t="s">
        <v>74</v>
      </c>
      <c r="BG10" t="s">
        <v>74</v>
      </c>
      <c r="BH10" t="s">
        <v>74</v>
      </c>
      <c r="BI10">
        <v>25</v>
      </c>
      <c r="BJ10" t="s">
        <v>225</v>
      </c>
      <c r="BK10" t="s">
        <v>98</v>
      </c>
      <c r="BL10" t="s">
        <v>225</v>
      </c>
      <c r="BM10" t="s">
        <v>226</v>
      </c>
      <c r="BN10" t="s">
        <v>74</v>
      </c>
      <c r="BO10" t="s">
        <v>74</v>
      </c>
      <c r="BP10" t="s">
        <v>74</v>
      </c>
      <c r="BQ10" t="s">
        <v>74</v>
      </c>
      <c r="BR10" t="s">
        <v>101</v>
      </c>
      <c r="BS10" t="s">
        <v>253</v>
      </c>
      <c r="BT10" t="str">
        <f>HYPERLINK("https%3A%2F%2Fwww.webofscience.com%2Fwos%2Fwoscc%2Ffull-record%2FWOS:000242336000007","View Full Record in Web of Science")</f>
        <v>View Full Record in Web of Science</v>
      </c>
    </row>
    <row r="11" spans="1:72" x14ac:dyDescent="0.15">
      <c r="A11" t="s">
        <v>72</v>
      </c>
      <c r="B11" t="s">
        <v>254</v>
      </c>
      <c r="C11" t="s">
        <v>74</v>
      </c>
      <c r="D11" t="s">
        <v>74</v>
      </c>
      <c r="E11" t="s">
        <v>74</v>
      </c>
      <c r="F11" t="s">
        <v>255</v>
      </c>
      <c r="G11" t="s">
        <v>74</v>
      </c>
      <c r="H11" t="s">
        <v>74</v>
      </c>
      <c r="I11" t="s">
        <v>256</v>
      </c>
      <c r="J11" t="s">
        <v>212</v>
      </c>
      <c r="K11" t="s">
        <v>74</v>
      </c>
      <c r="L11" t="s">
        <v>74</v>
      </c>
      <c r="M11" t="s">
        <v>77</v>
      </c>
      <c r="N11" t="s">
        <v>78</v>
      </c>
      <c r="O11" t="s">
        <v>74</v>
      </c>
      <c r="P11" t="s">
        <v>74</v>
      </c>
      <c r="Q11" t="s">
        <v>74</v>
      </c>
      <c r="R11" t="s">
        <v>74</v>
      </c>
      <c r="S11" t="s">
        <v>74</v>
      </c>
      <c r="T11" t="s">
        <v>257</v>
      </c>
      <c r="U11" t="s">
        <v>258</v>
      </c>
      <c r="V11" t="s">
        <v>259</v>
      </c>
      <c r="W11" t="s">
        <v>260</v>
      </c>
      <c r="X11" t="s">
        <v>261</v>
      </c>
      <c r="Y11" t="s">
        <v>262</v>
      </c>
      <c r="Z11" t="s">
        <v>263</v>
      </c>
      <c r="AA11" t="s">
        <v>264</v>
      </c>
      <c r="AB11" t="s">
        <v>265</v>
      </c>
      <c r="AC11" t="s">
        <v>74</v>
      </c>
      <c r="AD11" t="s">
        <v>74</v>
      </c>
      <c r="AE11" t="s">
        <v>74</v>
      </c>
      <c r="AF11" t="s">
        <v>74</v>
      </c>
      <c r="AG11">
        <v>49</v>
      </c>
      <c r="AH11">
        <v>31</v>
      </c>
      <c r="AI11">
        <v>33</v>
      </c>
      <c r="AJ11">
        <v>3</v>
      </c>
      <c r="AK11">
        <v>14</v>
      </c>
      <c r="AL11" t="s">
        <v>219</v>
      </c>
      <c r="AM11" t="s">
        <v>220</v>
      </c>
      <c r="AN11" t="s">
        <v>221</v>
      </c>
      <c r="AO11" t="s">
        <v>222</v>
      </c>
      <c r="AP11" t="s">
        <v>74</v>
      </c>
      <c r="AQ11" t="s">
        <v>74</v>
      </c>
      <c r="AR11" t="s">
        <v>223</v>
      </c>
      <c r="AS11" t="s">
        <v>224</v>
      </c>
      <c r="AT11" t="s">
        <v>74</v>
      </c>
      <c r="AU11">
        <v>2006</v>
      </c>
      <c r="AV11">
        <v>13</v>
      </c>
      <c r="AW11" t="s">
        <v>74</v>
      </c>
      <c r="AX11" t="s">
        <v>74</v>
      </c>
      <c r="AY11" t="s">
        <v>74</v>
      </c>
      <c r="AZ11" t="s">
        <v>74</v>
      </c>
      <c r="BA11" t="s">
        <v>74</v>
      </c>
      <c r="BB11">
        <v>175</v>
      </c>
      <c r="BC11">
        <v>190</v>
      </c>
      <c r="BD11" t="s">
        <v>74</v>
      </c>
      <c r="BE11" t="s">
        <v>74</v>
      </c>
      <c r="BF11" t="s">
        <v>74</v>
      </c>
      <c r="BG11" t="s">
        <v>74</v>
      </c>
      <c r="BH11" t="s">
        <v>74</v>
      </c>
      <c r="BI11">
        <v>16</v>
      </c>
      <c r="BJ11" t="s">
        <v>225</v>
      </c>
      <c r="BK11" t="s">
        <v>98</v>
      </c>
      <c r="BL11" t="s">
        <v>225</v>
      </c>
      <c r="BM11" t="s">
        <v>226</v>
      </c>
      <c r="BN11" t="s">
        <v>74</v>
      </c>
      <c r="BO11" t="s">
        <v>74</v>
      </c>
      <c r="BP11" t="s">
        <v>74</v>
      </c>
      <c r="BQ11" t="s">
        <v>74</v>
      </c>
      <c r="BR11" t="s">
        <v>101</v>
      </c>
      <c r="BS11" t="s">
        <v>266</v>
      </c>
      <c r="BT11" t="str">
        <f>HYPERLINK("https%3A%2F%2Fwww.webofscience.com%2Fwos%2Fwoscc%2Ffull-record%2FWOS:000242336000009","View Full Record in Web of Science")</f>
        <v>View Full Record in Web of Science</v>
      </c>
    </row>
    <row r="12" spans="1:72" x14ac:dyDescent="0.15">
      <c r="A12" t="s">
        <v>72</v>
      </c>
      <c r="B12" t="s">
        <v>267</v>
      </c>
      <c r="C12" t="s">
        <v>74</v>
      </c>
      <c r="D12" t="s">
        <v>74</v>
      </c>
      <c r="E12" t="s">
        <v>74</v>
      </c>
      <c r="F12" t="s">
        <v>268</v>
      </c>
      <c r="G12" t="s">
        <v>74</v>
      </c>
      <c r="H12" t="s">
        <v>74</v>
      </c>
      <c r="I12" t="s">
        <v>269</v>
      </c>
      <c r="J12" t="s">
        <v>212</v>
      </c>
      <c r="K12" t="s">
        <v>74</v>
      </c>
      <c r="L12" t="s">
        <v>74</v>
      </c>
      <c r="M12" t="s">
        <v>77</v>
      </c>
      <c r="N12" t="s">
        <v>78</v>
      </c>
      <c r="O12" t="s">
        <v>74</v>
      </c>
      <c r="P12" t="s">
        <v>74</v>
      </c>
      <c r="Q12" t="s">
        <v>74</v>
      </c>
      <c r="R12" t="s">
        <v>74</v>
      </c>
      <c r="S12" t="s">
        <v>74</v>
      </c>
      <c r="T12" t="s">
        <v>270</v>
      </c>
      <c r="U12" t="s">
        <v>271</v>
      </c>
      <c r="V12" t="s">
        <v>272</v>
      </c>
      <c r="W12" t="s">
        <v>273</v>
      </c>
      <c r="X12" t="s">
        <v>274</v>
      </c>
      <c r="Y12" t="s">
        <v>275</v>
      </c>
      <c r="Z12" t="s">
        <v>276</v>
      </c>
      <c r="AA12" t="s">
        <v>74</v>
      </c>
      <c r="AB12" t="s">
        <v>74</v>
      </c>
      <c r="AC12" t="s">
        <v>74</v>
      </c>
      <c r="AD12" t="s">
        <v>74</v>
      </c>
      <c r="AE12" t="s">
        <v>74</v>
      </c>
      <c r="AF12" t="s">
        <v>74</v>
      </c>
      <c r="AG12">
        <v>10</v>
      </c>
      <c r="AH12">
        <v>1</v>
      </c>
      <c r="AI12">
        <v>1</v>
      </c>
      <c r="AJ12">
        <v>0</v>
      </c>
      <c r="AK12">
        <v>1</v>
      </c>
      <c r="AL12" t="s">
        <v>219</v>
      </c>
      <c r="AM12" t="s">
        <v>220</v>
      </c>
      <c r="AN12" t="s">
        <v>221</v>
      </c>
      <c r="AO12" t="s">
        <v>222</v>
      </c>
      <c r="AP12" t="s">
        <v>74</v>
      </c>
      <c r="AQ12" t="s">
        <v>74</v>
      </c>
      <c r="AR12" t="s">
        <v>223</v>
      </c>
      <c r="AS12" t="s">
        <v>224</v>
      </c>
      <c r="AT12" t="s">
        <v>74</v>
      </c>
      <c r="AU12">
        <v>2006</v>
      </c>
      <c r="AV12">
        <v>13</v>
      </c>
      <c r="AW12" t="s">
        <v>74</v>
      </c>
      <c r="AX12" t="s">
        <v>74</v>
      </c>
      <c r="AY12" t="s">
        <v>74</v>
      </c>
      <c r="AZ12" t="s">
        <v>74</v>
      </c>
      <c r="BA12" t="s">
        <v>74</v>
      </c>
      <c r="BB12">
        <v>191</v>
      </c>
      <c r="BC12">
        <v>200</v>
      </c>
      <c r="BD12" t="s">
        <v>74</v>
      </c>
      <c r="BE12" t="s">
        <v>74</v>
      </c>
      <c r="BF12" t="s">
        <v>74</v>
      </c>
      <c r="BG12" t="s">
        <v>74</v>
      </c>
      <c r="BH12" t="s">
        <v>74</v>
      </c>
      <c r="BI12">
        <v>10</v>
      </c>
      <c r="BJ12" t="s">
        <v>225</v>
      </c>
      <c r="BK12" t="s">
        <v>98</v>
      </c>
      <c r="BL12" t="s">
        <v>225</v>
      </c>
      <c r="BM12" t="s">
        <v>226</v>
      </c>
      <c r="BN12" t="s">
        <v>74</v>
      </c>
      <c r="BO12" t="s">
        <v>74</v>
      </c>
      <c r="BP12" t="s">
        <v>74</v>
      </c>
      <c r="BQ12" t="s">
        <v>74</v>
      </c>
      <c r="BR12" t="s">
        <v>101</v>
      </c>
      <c r="BS12" t="s">
        <v>277</v>
      </c>
      <c r="BT12" t="str">
        <f>HYPERLINK("https%3A%2F%2Fwww.webofscience.com%2Fwos%2Fwoscc%2Ffull-record%2FWOS:000242336000010","View Full Record in Web of Science")</f>
        <v>View Full Record in Web of Science</v>
      </c>
    </row>
    <row r="13" spans="1:72" x14ac:dyDescent="0.15">
      <c r="A13" t="s">
        <v>72</v>
      </c>
      <c r="B13" t="s">
        <v>278</v>
      </c>
      <c r="C13" t="s">
        <v>74</v>
      </c>
      <c r="D13" t="s">
        <v>74</v>
      </c>
      <c r="E13" t="s">
        <v>74</v>
      </c>
      <c r="F13" t="s">
        <v>279</v>
      </c>
      <c r="G13" t="s">
        <v>74</v>
      </c>
      <c r="H13" t="s">
        <v>74</v>
      </c>
      <c r="I13" t="s">
        <v>280</v>
      </c>
      <c r="J13" t="s">
        <v>212</v>
      </c>
      <c r="K13" t="s">
        <v>74</v>
      </c>
      <c r="L13" t="s">
        <v>74</v>
      </c>
      <c r="M13" t="s">
        <v>77</v>
      </c>
      <c r="N13" t="s">
        <v>78</v>
      </c>
      <c r="O13" t="s">
        <v>74</v>
      </c>
      <c r="P13" t="s">
        <v>74</v>
      </c>
      <c r="Q13" t="s">
        <v>74</v>
      </c>
      <c r="R13" t="s">
        <v>74</v>
      </c>
      <c r="S13" t="s">
        <v>74</v>
      </c>
      <c r="T13" t="s">
        <v>281</v>
      </c>
      <c r="U13" t="s">
        <v>282</v>
      </c>
      <c r="V13" t="s">
        <v>283</v>
      </c>
      <c r="W13" t="s">
        <v>273</v>
      </c>
      <c r="X13" t="s">
        <v>274</v>
      </c>
      <c r="Y13" t="s">
        <v>284</v>
      </c>
      <c r="Z13" t="s">
        <v>74</v>
      </c>
      <c r="AA13" t="s">
        <v>74</v>
      </c>
      <c r="AB13" t="s">
        <v>74</v>
      </c>
      <c r="AC13" t="s">
        <v>74</v>
      </c>
      <c r="AD13" t="s">
        <v>74</v>
      </c>
      <c r="AE13" t="s">
        <v>74</v>
      </c>
      <c r="AF13" t="s">
        <v>74</v>
      </c>
      <c r="AG13">
        <v>28</v>
      </c>
      <c r="AH13">
        <v>1</v>
      </c>
      <c r="AI13">
        <v>1</v>
      </c>
      <c r="AJ13">
        <v>0</v>
      </c>
      <c r="AK13">
        <v>2</v>
      </c>
      <c r="AL13" t="s">
        <v>219</v>
      </c>
      <c r="AM13" t="s">
        <v>220</v>
      </c>
      <c r="AN13" t="s">
        <v>221</v>
      </c>
      <c r="AO13" t="s">
        <v>222</v>
      </c>
      <c r="AP13" t="s">
        <v>74</v>
      </c>
      <c r="AQ13" t="s">
        <v>74</v>
      </c>
      <c r="AR13" t="s">
        <v>223</v>
      </c>
      <c r="AS13" t="s">
        <v>224</v>
      </c>
      <c r="AT13" t="s">
        <v>74</v>
      </c>
      <c r="AU13">
        <v>2006</v>
      </c>
      <c r="AV13">
        <v>13</v>
      </c>
      <c r="AW13" t="s">
        <v>74</v>
      </c>
      <c r="AX13" t="s">
        <v>74</v>
      </c>
      <c r="AY13" t="s">
        <v>74</v>
      </c>
      <c r="AZ13" t="s">
        <v>74</v>
      </c>
      <c r="BA13" t="s">
        <v>74</v>
      </c>
      <c r="BB13">
        <v>201</v>
      </c>
      <c r="BC13">
        <v>215</v>
      </c>
      <c r="BD13" t="s">
        <v>74</v>
      </c>
      <c r="BE13" t="s">
        <v>74</v>
      </c>
      <c r="BF13" t="s">
        <v>74</v>
      </c>
      <c r="BG13" t="s">
        <v>74</v>
      </c>
      <c r="BH13" t="s">
        <v>74</v>
      </c>
      <c r="BI13">
        <v>15</v>
      </c>
      <c r="BJ13" t="s">
        <v>225</v>
      </c>
      <c r="BK13" t="s">
        <v>98</v>
      </c>
      <c r="BL13" t="s">
        <v>225</v>
      </c>
      <c r="BM13" t="s">
        <v>226</v>
      </c>
      <c r="BN13" t="s">
        <v>74</v>
      </c>
      <c r="BO13" t="s">
        <v>74</v>
      </c>
      <c r="BP13" t="s">
        <v>74</v>
      </c>
      <c r="BQ13" t="s">
        <v>74</v>
      </c>
      <c r="BR13" t="s">
        <v>101</v>
      </c>
      <c r="BS13" t="s">
        <v>285</v>
      </c>
      <c r="BT13" t="str">
        <f>HYPERLINK("https%3A%2F%2Fwww.webofscience.com%2Fwos%2Fwoscc%2Ffull-record%2FWOS:000242336000011","View Full Record in Web of Science")</f>
        <v>View Full Record in Web of Science</v>
      </c>
    </row>
    <row r="14" spans="1:72" x14ac:dyDescent="0.15">
      <c r="A14" t="s">
        <v>72</v>
      </c>
      <c r="B14" t="s">
        <v>286</v>
      </c>
      <c r="C14" t="s">
        <v>74</v>
      </c>
      <c r="D14" t="s">
        <v>74</v>
      </c>
      <c r="E14" t="s">
        <v>74</v>
      </c>
      <c r="F14" t="s">
        <v>287</v>
      </c>
      <c r="G14" t="s">
        <v>74</v>
      </c>
      <c r="H14" t="s">
        <v>74</v>
      </c>
      <c r="I14" t="s">
        <v>288</v>
      </c>
      <c r="J14" t="s">
        <v>212</v>
      </c>
      <c r="K14" t="s">
        <v>74</v>
      </c>
      <c r="L14" t="s">
        <v>74</v>
      </c>
      <c r="M14" t="s">
        <v>77</v>
      </c>
      <c r="N14" t="s">
        <v>289</v>
      </c>
      <c r="O14" t="s">
        <v>74</v>
      </c>
      <c r="P14" t="s">
        <v>74</v>
      </c>
      <c r="Q14" t="s">
        <v>74</v>
      </c>
      <c r="R14" t="s">
        <v>74</v>
      </c>
      <c r="S14" t="s">
        <v>74</v>
      </c>
      <c r="T14" t="s">
        <v>290</v>
      </c>
      <c r="U14" t="s">
        <v>291</v>
      </c>
      <c r="V14" t="s">
        <v>292</v>
      </c>
      <c r="W14" t="s">
        <v>293</v>
      </c>
      <c r="X14" t="s">
        <v>261</v>
      </c>
      <c r="Y14" t="s">
        <v>294</v>
      </c>
      <c r="Z14" t="s">
        <v>295</v>
      </c>
      <c r="AA14" t="s">
        <v>74</v>
      </c>
      <c r="AB14" t="s">
        <v>74</v>
      </c>
      <c r="AC14" t="s">
        <v>74</v>
      </c>
      <c r="AD14" t="s">
        <v>74</v>
      </c>
      <c r="AE14" t="s">
        <v>74</v>
      </c>
      <c r="AF14" t="s">
        <v>74</v>
      </c>
      <c r="AG14">
        <v>119</v>
      </c>
      <c r="AH14">
        <v>52</v>
      </c>
      <c r="AI14">
        <v>68</v>
      </c>
      <c r="AJ14">
        <v>2</v>
      </c>
      <c r="AK14">
        <v>45</v>
      </c>
      <c r="AL14" t="s">
        <v>219</v>
      </c>
      <c r="AM14" t="s">
        <v>220</v>
      </c>
      <c r="AN14" t="s">
        <v>221</v>
      </c>
      <c r="AO14" t="s">
        <v>222</v>
      </c>
      <c r="AP14" t="s">
        <v>74</v>
      </c>
      <c r="AQ14" t="s">
        <v>74</v>
      </c>
      <c r="AR14" t="s">
        <v>223</v>
      </c>
      <c r="AS14" t="s">
        <v>224</v>
      </c>
      <c r="AT14" t="s">
        <v>74</v>
      </c>
      <c r="AU14">
        <v>2006</v>
      </c>
      <c r="AV14">
        <v>13</v>
      </c>
      <c r="AW14" t="s">
        <v>74</v>
      </c>
      <c r="AX14" t="s">
        <v>74</v>
      </c>
      <c r="AY14" t="s">
        <v>74</v>
      </c>
      <c r="AZ14" t="s">
        <v>74</v>
      </c>
      <c r="BA14" t="s">
        <v>74</v>
      </c>
      <c r="BB14">
        <v>217</v>
      </c>
      <c r="BC14">
        <v>277</v>
      </c>
      <c r="BD14" t="s">
        <v>74</v>
      </c>
      <c r="BE14" t="s">
        <v>74</v>
      </c>
      <c r="BF14" t="s">
        <v>74</v>
      </c>
      <c r="BG14" t="s">
        <v>74</v>
      </c>
      <c r="BH14" t="s">
        <v>74</v>
      </c>
      <c r="BI14">
        <v>61</v>
      </c>
      <c r="BJ14" t="s">
        <v>225</v>
      </c>
      <c r="BK14" t="s">
        <v>98</v>
      </c>
      <c r="BL14" t="s">
        <v>225</v>
      </c>
      <c r="BM14" t="s">
        <v>226</v>
      </c>
      <c r="BN14" t="s">
        <v>74</v>
      </c>
      <c r="BO14" t="s">
        <v>74</v>
      </c>
      <c r="BP14" t="s">
        <v>74</v>
      </c>
      <c r="BQ14" t="s">
        <v>74</v>
      </c>
      <c r="BR14" t="s">
        <v>101</v>
      </c>
      <c r="BS14" t="s">
        <v>296</v>
      </c>
      <c r="BT14" t="str">
        <f>HYPERLINK("https%3A%2F%2Fwww.webofscience.com%2Fwos%2Fwoscc%2Ffull-record%2FWOS:000242336000012","View Full Record in Web of Science")</f>
        <v>View Full Record in Web of Science</v>
      </c>
    </row>
    <row r="15" spans="1:72" x14ac:dyDescent="0.15">
      <c r="A15" t="s">
        <v>297</v>
      </c>
      <c r="B15" t="s">
        <v>298</v>
      </c>
      <c r="C15" t="s">
        <v>74</v>
      </c>
      <c r="D15" t="s">
        <v>299</v>
      </c>
      <c r="E15" t="s">
        <v>74</v>
      </c>
      <c r="F15" t="s">
        <v>300</v>
      </c>
      <c r="G15" t="s">
        <v>74</v>
      </c>
      <c r="H15" t="s">
        <v>74</v>
      </c>
      <c r="I15" t="s">
        <v>301</v>
      </c>
      <c r="J15" t="s">
        <v>302</v>
      </c>
      <c r="K15" t="s">
        <v>303</v>
      </c>
      <c r="L15" t="s">
        <v>74</v>
      </c>
      <c r="M15" t="s">
        <v>77</v>
      </c>
      <c r="N15" t="s">
        <v>304</v>
      </c>
      <c r="O15" t="s">
        <v>305</v>
      </c>
      <c r="P15" t="s">
        <v>306</v>
      </c>
      <c r="Q15" t="s">
        <v>307</v>
      </c>
      <c r="R15" t="s">
        <v>74</v>
      </c>
      <c r="S15" t="s">
        <v>74</v>
      </c>
      <c r="T15" t="s">
        <v>308</v>
      </c>
      <c r="U15" t="s">
        <v>74</v>
      </c>
      <c r="V15" t="s">
        <v>309</v>
      </c>
      <c r="W15" t="s">
        <v>310</v>
      </c>
      <c r="X15" t="s">
        <v>311</v>
      </c>
      <c r="Y15" t="s">
        <v>312</v>
      </c>
      <c r="Z15" t="s">
        <v>74</v>
      </c>
      <c r="AA15" t="s">
        <v>313</v>
      </c>
      <c r="AB15" t="s">
        <v>314</v>
      </c>
      <c r="AC15" t="s">
        <v>315</v>
      </c>
      <c r="AD15" t="s">
        <v>316</v>
      </c>
      <c r="AE15" t="s">
        <v>317</v>
      </c>
      <c r="AF15" t="s">
        <v>74</v>
      </c>
      <c r="AG15">
        <v>6</v>
      </c>
      <c r="AH15">
        <v>3</v>
      </c>
      <c r="AI15">
        <v>3</v>
      </c>
      <c r="AJ15">
        <v>0</v>
      </c>
      <c r="AK15">
        <v>3</v>
      </c>
      <c r="AL15" t="s">
        <v>318</v>
      </c>
      <c r="AM15" t="s">
        <v>319</v>
      </c>
      <c r="AN15" t="s">
        <v>320</v>
      </c>
      <c r="AO15" t="s">
        <v>321</v>
      </c>
      <c r="AP15" t="s">
        <v>322</v>
      </c>
      <c r="AQ15" t="s">
        <v>323</v>
      </c>
      <c r="AR15" t="s">
        <v>324</v>
      </c>
      <c r="AS15" t="s">
        <v>74</v>
      </c>
      <c r="AT15" t="s">
        <v>74</v>
      </c>
      <c r="AU15">
        <v>2006</v>
      </c>
      <c r="AV15">
        <v>6218</v>
      </c>
      <c r="AW15" t="s">
        <v>74</v>
      </c>
      <c r="AX15" t="s">
        <v>74</v>
      </c>
      <c r="AY15" t="s">
        <v>74</v>
      </c>
      <c r="AZ15" t="s">
        <v>74</v>
      </c>
      <c r="BA15" t="s">
        <v>74</v>
      </c>
      <c r="BB15" t="s">
        <v>74</v>
      </c>
      <c r="BC15" t="s">
        <v>74</v>
      </c>
      <c r="BD15" t="s">
        <v>325</v>
      </c>
      <c r="BE15" t="s">
        <v>326</v>
      </c>
      <c r="BF15" t="str">
        <f>HYPERLINK("http://dx.doi.org/10.1117/12.674404","http://dx.doi.org/10.1117/12.674404")</f>
        <v>http://dx.doi.org/10.1117/12.674404</v>
      </c>
      <c r="BG15" t="s">
        <v>74</v>
      </c>
      <c r="BH15" t="s">
        <v>74</v>
      </c>
      <c r="BI15">
        <v>9</v>
      </c>
      <c r="BJ15" t="s">
        <v>327</v>
      </c>
      <c r="BK15" t="s">
        <v>328</v>
      </c>
      <c r="BL15" t="s">
        <v>327</v>
      </c>
      <c r="BM15" t="s">
        <v>329</v>
      </c>
      <c r="BN15" t="s">
        <v>74</v>
      </c>
      <c r="BO15" t="s">
        <v>74</v>
      </c>
      <c r="BP15" t="s">
        <v>74</v>
      </c>
      <c r="BQ15" t="s">
        <v>74</v>
      </c>
      <c r="BR15" t="s">
        <v>101</v>
      </c>
      <c r="BS15" t="s">
        <v>330</v>
      </c>
      <c r="BT15" t="str">
        <f>HYPERLINK("https%3A%2F%2Fwww.webofscience.com%2Fwos%2Fwoscc%2Ffull-record%2FWOS:000239300700017","View Full Record in Web of Science")</f>
        <v>View Full Record in Web of Science</v>
      </c>
    </row>
    <row r="16" spans="1:72" x14ac:dyDescent="0.15">
      <c r="A16" t="s">
        <v>72</v>
      </c>
      <c r="B16" t="s">
        <v>331</v>
      </c>
      <c r="C16" t="s">
        <v>74</v>
      </c>
      <c r="D16" t="s">
        <v>74</v>
      </c>
      <c r="E16" t="s">
        <v>74</v>
      </c>
      <c r="F16" t="s">
        <v>332</v>
      </c>
      <c r="G16" t="s">
        <v>74</v>
      </c>
      <c r="H16" t="s">
        <v>74</v>
      </c>
      <c r="I16" t="s">
        <v>333</v>
      </c>
      <c r="J16" t="s">
        <v>334</v>
      </c>
      <c r="K16" t="s">
        <v>74</v>
      </c>
      <c r="L16" t="s">
        <v>74</v>
      </c>
      <c r="M16" t="s">
        <v>77</v>
      </c>
      <c r="N16" t="s">
        <v>335</v>
      </c>
      <c r="O16" t="s">
        <v>336</v>
      </c>
      <c r="P16" t="s">
        <v>337</v>
      </c>
      <c r="Q16" t="s">
        <v>338</v>
      </c>
      <c r="R16" t="s">
        <v>74</v>
      </c>
      <c r="S16" t="s">
        <v>74</v>
      </c>
      <c r="T16" t="s">
        <v>339</v>
      </c>
      <c r="U16" t="s">
        <v>340</v>
      </c>
      <c r="V16" t="s">
        <v>341</v>
      </c>
      <c r="W16" t="s">
        <v>342</v>
      </c>
      <c r="X16" t="s">
        <v>343</v>
      </c>
      <c r="Y16" t="s">
        <v>344</v>
      </c>
      <c r="Z16" t="s">
        <v>345</v>
      </c>
      <c r="AA16" t="s">
        <v>346</v>
      </c>
      <c r="AB16" t="s">
        <v>347</v>
      </c>
      <c r="AC16" t="s">
        <v>74</v>
      </c>
      <c r="AD16" t="s">
        <v>74</v>
      </c>
      <c r="AE16" t="s">
        <v>74</v>
      </c>
      <c r="AF16" t="s">
        <v>74</v>
      </c>
      <c r="AG16">
        <v>27</v>
      </c>
      <c r="AH16">
        <v>27</v>
      </c>
      <c r="AI16">
        <v>32</v>
      </c>
      <c r="AJ16">
        <v>0</v>
      </c>
      <c r="AK16">
        <v>19</v>
      </c>
      <c r="AL16" t="s">
        <v>348</v>
      </c>
      <c r="AM16" t="s">
        <v>349</v>
      </c>
      <c r="AN16" t="s">
        <v>350</v>
      </c>
      <c r="AO16" t="s">
        <v>351</v>
      </c>
      <c r="AP16" t="s">
        <v>74</v>
      </c>
      <c r="AQ16" t="s">
        <v>74</v>
      </c>
      <c r="AR16" t="s">
        <v>352</v>
      </c>
      <c r="AS16" t="s">
        <v>353</v>
      </c>
      <c r="AT16" t="s">
        <v>74</v>
      </c>
      <c r="AU16">
        <v>2006</v>
      </c>
      <c r="AV16">
        <v>22</v>
      </c>
      <c r="AW16" t="s">
        <v>74</v>
      </c>
      <c r="AX16" t="s">
        <v>74</v>
      </c>
      <c r="AY16">
        <v>1</v>
      </c>
      <c r="AZ16" t="s">
        <v>74</v>
      </c>
      <c r="BA16" t="s">
        <v>74</v>
      </c>
      <c r="BB16">
        <v>219</v>
      </c>
      <c r="BC16">
        <v>233</v>
      </c>
      <c r="BD16" t="s">
        <v>74</v>
      </c>
      <c r="BE16" t="s">
        <v>354</v>
      </c>
      <c r="BF16" t="str">
        <f>HYPERLINK("http://dx.doi.org/10.1080/02757540600670836","http://dx.doi.org/10.1080/02757540600670836")</f>
        <v>http://dx.doi.org/10.1080/02757540600670836</v>
      </c>
      <c r="BG16" t="s">
        <v>74</v>
      </c>
      <c r="BH16" t="s">
        <v>74</v>
      </c>
      <c r="BI16">
        <v>15</v>
      </c>
      <c r="BJ16" t="s">
        <v>355</v>
      </c>
      <c r="BK16" t="s">
        <v>356</v>
      </c>
      <c r="BL16" t="s">
        <v>357</v>
      </c>
      <c r="BM16" t="s">
        <v>358</v>
      </c>
      <c r="BN16" t="s">
        <v>74</v>
      </c>
      <c r="BO16" t="s">
        <v>74</v>
      </c>
      <c r="BP16" t="s">
        <v>74</v>
      </c>
      <c r="BQ16" t="s">
        <v>74</v>
      </c>
      <c r="BR16" t="s">
        <v>101</v>
      </c>
      <c r="BS16" t="s">
        <v>359</v>
      </c>
      <c r="BT16" t="str">
        <f>HYPERLINK("https%3A%2F%2Fwww.webofscience.com%2Fwos%2Fwoscc%2Ffull-record%2FWOS:000241198700018","View Full Record in Web of Science")</f>
        <v>View Full Record in Web of Science</v>
      </c>
    </row>
    <row r="17" spans="1:72" x14ac:dyDescent="0.15">
      <c r="A17" t="s">
        <v>72</v>
      </c>
      <c r="B17" t="s">
        <v>360</v>
      </c>
      <c r="C17" t="s">
        <v>74</v>
      </c>
      <c r="D17" t="s">
        <v>74</v>
      </c>
      <c r="E17" t="s">
        <v>74</v>
      </c>
      <c r="F17" t="s">
        <v>361</v>
      </c>
      <c r="G17" t="s">
        <v>74</v>
      </c>
      <c r="H17" t="s">
        <v>74</v>
      </c>
      <c r="I17" t="s">
        <v>362</v>
      </c>
      <c r="J17" t="s">
        <v>334</v>
      </c>
      <c r="K17" t="s">
        <v>74</v>
      </c>
      <c r="L17" t="s">
        <v>74</v>
      </c>
      <c r="M17" t="s">
        <v>77</v>
      </c>
      <c r="N17" t="s">
        <v>335</v>
      </c>
      <c r="O17" t="s">
        <v>336</v>
      </c>
      <c r="P17" t="s">
        <v>337</v>
      </c>
      <c r="Q17" t="s">
        <v>338</v>
      </c>
      <c r="R17" t="s">
        <v>74</v>
      </c>
      <c r="S17" t="s">
        <v>74</v>
      </c>
      <c r="T17" t="s">
        <v>363</v>
      </c>
      <c r="U17" t="s">
        <v>364</v>
      </c>
      <c r="V17" t="s">
        <v>365</v>
      </c>
      <c r="W17" t="s">
        <v>366</v>
      </c>
      <c r="X17" t="s">
        <v>367</v>
      </c>
      <c r="Y17" t="s">
        <v>368</v>
      </c>
      <c r="Z17" t="s">
        <v>369</v>
      </c>
      <c r="AA17" t="s">
        <v>370</v>
      </c>
      <c r="AB17" t="s">
        <v>371</v>
      </c>
      <c r="AC17" t="s">
        <v>74</v>
      </c>
      <c r="AD17" t="s">
        <v>74</v>
      </c>
      <c r="AE17" t="s">
        <v>74</v>
      </c>
      <c r="AF17" t="s">
        <v>74</v>
      </c>
      <c r="AG17">
        <v>25</v>
      </c>
      <c r="AH17">
        <v>22</v>
      </c>
      <c r="AI17">
        <v>25</v>
      </c>
      <c r="AJ17">
        <v>0</v>
      </c>
      <c r="AK17">
        <v>5</v>
      </c>
      <c r="AL17" t="s">
        <v>348</v>
      </c>
      <c r="AM17" t="s">
        <v>349</v>
      </c>
      <c r="AN17" t="s">
        <v>350</v>
      </c>
      <c r="AO17" t="s">
        <v>351</v>
      </c>
      <c r="AP17" t="s">
        <v>74</v>
      </c>
      <c r="AQ17" t="s">
        <v>74</v>
      </c>
      <c r="AR17" t="s">
        <v>352</v>
      </c>
      <c r="AS17" t="s">
        <v>353</v>
      </c>
      <c r="AT17" t="s">
        <v>74</v>
      </c>
      <c r="AU17">
        <v>2006</v>
      </c>
      <c r="AV17">
        <v>22</v>
      </c>
      <c r="AW17" t="s">
        <v>74</v>
      </c>
      <c r="AX17" t="s">
        <v>74</v>
      </c>
      <c r="AY17">
        <v>1</v>
      </c>
      <c r="AZ17" t="s">
        <v>74</v>
      </c>
      <c r="BA17" t="s">
        <v>74</v>
      </c>
      <c r="BB17">
        <v>235</v>
      </c>
      <c r="BC17">
        <v>244</v>
      </c>
      <c r="BD17" t="s">
        <v>74</v>
      </c>
      <c r="BE17" t="s">
        <v>372</v>
      </c>
      <c r="BF17" t="str">
        <f>HYPERLINK("http://dx.doi.org/10.1080/02757540600688101","http://dx.doi.org/10.1080/02757540600688101")</f>
        <v>http://dx.doi.org/10.1080/02757540600688101</v>
      </c>
      <c r="BG17" t="s">
        <v>74</v>
      </c>
      <c r="BH17" t="s">
        <v>74</v>
      </c>
      <c r="BI17">
        <v>10</v>
      </c>
      <c r="BJ17" t="s">
        <v>355</v>
      </c>
      <c r="BK17" t="s">
        <v>356</v>
      </c>
      <c r="BL17" t="s">
        <v>357</v>
      </c>
      <c r="BM17" t="s">
        <v>358</v>
      </c>
      <c r="BN17" t="s">
        <v>74</v>
      </c>
      <c r="BO17" t="s">
        <v>74</v>
      </c>
      <c r="BP17" t="s">
        <v>74</v>
      </c>
      <c r="BQ17" t="s">
        <v>74</v>
      </c>
      <c r="BR17" t="s">
        <v>101</v>
      </c>
      <c r="BS17" t="s">
        <v>373</v>
      </c>
      <c r="BT17" t="str">
        <f>HYPERLINK("https%3A%2F%2Fwww.webofscience.com%2Fwos%2Fwoscc%2Ffull-record%2FWOS:000241198700019","View Full Record in Web of Science")</f>
        <v>View Full Record in Web of Science</v>
      </c>
    </row>
    <row r="18" spans="1:72" x14ac:dyDescent="0.15">
      <c r="A18" t="s">
        <v>374</v>
      </c>
      <c r="B18" t="s">
        <v>375</v>
      </c>
      <c r="C18" t="s">
        <v>74</v>
      </c>
      <c r="D18" t="s">
        <v>376</v>
      </c>
      <c r="E18" t="s">
        <v>74</v>
      </c>
      <c r="F18" t="s">
        <v>377</v>
      </c>
      <c r="G18" t="s">
        <v>74</v>
      </c>
      <c r="H18" t="s">
        <v>74</v>
      </c>
      <c r="I18" t="s">
        <v>378</v>
      </c>
      <c r="J18" t="s">
        <v>379</v>
      </c>
      <c r="K18" t="s">
        <v>380</v>
      </c>
      <c r="L18" t="s">
        <v>74</v>
      </c>
      <c r="M18" t="s">
        <v>77</v>
      </c>
      <c r="N18" t="s">
        <v>381</v>
      </c>
      <c r="O18" t="s">
        <v>74</v>
      </c>
      <c r="P18" t="s">
        <v>74</v>
      </c>
      <c r="Q18" t="s">
        <v>74</v>
      </c>
      <c r="R18" t="s">
        <v>74</v>
      </c>
      <c r="S18" t="s">
        <v>74</v>
      </c>
      <c r="T18" t="s">
        <v>74</v>
      </c>
      <c r="U18" t="s">
        <v>382</v>
      </c>
      <c r="V18" t="s">
        <v>74</v>
      </c>
      <c r="W18" t="s">
        <v>383</v>
      </c>
      <c r="X18" t="s">
        <v>384</v>
      </c>
      <c r="Y18" t="s">
        <v>385</v>
      </c>
      <c r="Z18" t="s">
        <v>74</v>
      </c>
      <c r="AA18" t="s">
        <v>74</v>
      </c>
      <c r="AB18" t="s">
        <v>74</v>
      </c>
      <c r="AC18" t="s">
        <v>74</v>
      </c>
      <c r="AD18" t="s">
        <v>74</v>
      </c>
      <c r="AE18" t="s">
        <v>74</v>
      </c>
      <c r="AF18" t="s">
        <v>74</v>
      </c>
      <c r="AG18">
        <v>30</v>
      </c>
      <c r="AH18">
        <v>11</v>
      </c>
      <c r="AI18">
        <v>11</v>
      </c>
      <c r="AJ18">
        <v>0</v>
      </c>
      <c r="AK18">
        <v>2</v>
      </c>
      <c r="AL18" t="s">
        <v>386</v>
      </c>
      <c r="AM18" t="s">
        <v>387</v>
      </c>
      <c r="AN18" t="s">
        <v>388</v>
      </c>
      <c r="AO18" t="s">
        <v>74</v>
      </c>
      <c r="AP18" t="s">
        <v>74</v>
      </c>
      <c r="AQ18" t="s">
        <v>389</v>
      </c>
      <c r="AR18" t="s">
        <v>390</v>
      </c>
      <c r="AS18" t="s">
        <v>74</v>
      </c>
      <c r="AT18" t="s">
        <v>74</v>
      </c>
      <c r="AU18">
        <v>2006</v>
      </c>
      <c r="AV18" t="s">
        <v>74</v>
      </c>
      <c r="AW18" t="s">
        <v>74</v>
      </c>
      <c r="AX18" t="s">
        <v>74</v>
      </c>
      <c r="AY18" t="s">
        <v>74</v>
      </c>
      <c r="AZ18" t="s">
        <v>74</v>
      </c>
      <c r="BA18" t="s">
        <v>74</v>
      </c>
      <c r="BB18">
        <v>126</v>
      </c>
      <c r="BC18">
        <v>150</v>
      </c>
      <c r="BD18" t="s">
        <v>74</v>
      </c>
      <c r="BE18" t="s">
        <v>74</v>
      </c>
      <c r="BF18" t="s">
        <v>74</v>
      </c>
      <c r="BG18" t="s">
        <v>74</v>
      </c>
      <c r="BH18" t="s">
        <v>74</v>
      </c>
      <c r="BI18">
        <v>25</v>
      </c>
      <c r="BJ18" t="s">
        <v>391</v>
      </c>
      <c r="BK18" t="s">
        <v>392</v>
      </c>
      <c r="BL18" t="s">
        <v>393</v>
      </c>
      <c r="BM18" t="s">
        <v>394</v>
      </c>
      <c r="BN18" t="s">
        <v>74</v>
      </c>
      <c r="BO18" t="s">
        <v>74</v>
      </c>
      <c r="BP18" t="s">
        <v>74</v>
      </c>
      <c r="BQ18" t="s">
        <v>74</v>
      </c>
      <c r="BR18" t="s">
        <v>101</v>
      </c>
      <c r="BS18" t="s">
        <v>395</v>
      </c>
      <c r="BT18" t="str">
        <f>HYPERLINK("https%3A%2F%2Fwww.webofscience.com%2Fwos%2Fwoscc%2Ffull-record%2FWOS:000283926800006","View Full Record in Web of Science")</f>
        <v>View Full Record in Web of Science</v>
      </c>
    </row>
    <row r="19" spans="1:72" x14ac:dyDescent="0.15">
      <c r="A19" t="s">
        <v>72</v>
      </c>
      <c r="B19" t="s">
        <v>396</v>
      </c>
      <c r="C19" t="s">
        <v>74</v>
      </c>
      <c r="D19" t="s">
        <v>74</v>
      </c>
      <c r="E19" t="s">
        <v>74</v>
      </c>
      <c r="F19" t="s">
        <v>397</v>
      </c>
      <c r="G19" t="s">
        <v>74</v>
      </c>
      <c r="H19" t="s">
        <v>74</v>
      </c>
      <c r="I19" t="s">
        <v>398</v>
      </c>
      <c r="J19" t="s">
        <v>399</v>
      </c>
      <c r="K19" t="s">
        <v>74</v>
      </c>
      <c r="L19" t="s">
        <v>74</v>
      </c>
      <c r="M19" t="s">
        <v>77</v>
      </c>
      <c r="N19" t="s">
        <v>78</v>
      </c>
      <c r="O19" t="s">
        <v>74</v>
      </c>
      <c r="P19" t="s">
        <v>74</v>
      </c>
      <c r="Q19" t="s">
        <v>74</v>
      </c>
      <c r="R19" t="s">
        <v>74</v>
      </c>
      <c r="S19" t="s">
        <v>74</v>
      </c>
      <c r="T19" t="s">
        <v>74</v>
      </c>
      <c r="U19" t="s">
        <v>400</v>
      </c>
      <c r="V19" t="s">
        <v>401</v>
      </c>
      <c r="W19" t="s">
        <v>402</v>
      </c>
      <c r="X19" t="s">
        <v>403</v>
      </c>
      <c r="Y19" t="s">
        <v>404</v>
      </c>
      <c r="Z19" t="s">
        <v>405</v>
      </c>
      <c r="AA19" t="s">
        <v>406</v>
      </c>
      <c r="AB19" t="s">
        <v>407</v>
      </c>
      <c r="AC19" t="s">
        <v>74</v>
      </c>
      <c r="AD19" t="s">
        <v>74</v>
      </c>
      <c r="AE19" t="s">
        <v>74</v>
      </c>
      <c r="AF19" t="s">
        <v>74</v>
      </c>
      <c r="AG19">
        <v>59</v>
      </c>
      <c r="AH19">
        <v>39</v>
      </c>
      <c r="AI19">
        <v>45</v>
      </c>
      <c r="AJ19">
        <v>0</v>
      </c>
      <c r="AK19">
        <v>14</v>
      </c>
      <c r="AL19" t="s">
        <v>408</v>
      </c>
      <c r="AM19" t="s">
        <v>409</v>
      </c>
      <c r="AN19" t="s">
        <v>410</v>
      </c>
      <c r="AO19" t="s">
        <v>411</v>
      </c>
      <c r="AP19" t="s">
        <v>74</v>
      </c>
      <c r="AQ19" t="s">
        <v>74</v>
      </c>
      <c r="AR19" t="s">
        <v>412</v>
      </c>
      <c r="AS19" t="s">
        <v>413</v>
      </c>
      <c r="AT19" t="s">
        <v>74</v>
      </c>
      <c r="AU19">
        <v>2006</v>
      </c>
      <c r="AV19">
        <v>2</v>
      </c>
      <c r="AW19">
        <v>1</v>
      </c>
      <c r="AX19" t="s">
        <v>74</v>
      </c>
      <c r="AY19" t="s">
        <v>74</v>
      </c>
      <c r="AZ19" t="s">
        <v>74</v>
      </c>
      <c r="BA19" t="s">
        <v>74</v>
      </c>
      <c r="BB19">
        <v>11</v>
      </c>
      <c r="BC19">
        <v>19</v>
      </c>
      <c r="BD19" t="s">
        <v>74</v>
      </c>
      <c r="BE19" t="s">
        <v>414</v>
      </c>
      <c r="BF19" t="str">
        <f>HYPERLINK("http://dx.doi.org/10.5194/cp-2-11-2006","http://dx.doi.org/10.5194/cp-2-11-2006")</f>
        <v>http://dx.doi.org/10.5194/cp-2-11-2006</v>
      </c>
      <c r="BG19" t="s">
        <v>74</v>
      </c>
      <c r="BH19" t="s">
        <v>74</v>
      </c>
      <c r="BI19">
        <v>9</v>
      </c>
      <c r="BJ19" t="s">
        <v>415</v>
      </c>
      <c r="BK19" t="s">
        <v>98</v>
      </c>
      <c r="BL19" t="s">
        <v>416</v>
      </c>
      <c r="BM19" t="s">
        <v>417</v>
      </c>
      <c r="BN19" t="s">
        <v>74</v>
      </c>
      <c r="BO19" t="s">
        <v>418</v>
      </c>
      <c r="BP19" t="s">
        <v>74</v>
      </c>
      <c r="BQ19" t="s">
        <v>74</v>
      </c>
      <c r="BR19" t="s">
        <v>101</v>
      </c>
      <c r="BS19" t="s">
        <v>419</v>
      </c>
      <c r="BT19" t="str">
        <f>HYPERLINK("https%3A%2F%2Fwww.webofscience.com%2Fwos%2Fwoscc%2Ffull-record%2FWOS:000244506200002","View Full Record in Web of Science")</f>
        <v>View Full Record in Web of Science</v>
      </c>
    </row>
    <row r="20" spans="1:72" x14ac:dyDescent="0.15">
      <c r="A20" t="s">
        <v>72</v>
      </c>
      <c r="B20" t="s">
        <v>420</v>
      </c>
      <c r="C20" t="s">
        <v>74</v>
      </c>
      <c r="D20" t="s">
        <v>74</v>
      </c>
      <c r="E20" t="s">
        <v>74</v>
      </c>
      <c r="F20" t="s">
        <v>421</v>
      </c>
      <c r="G20" t="s">
        <v>74</v>
      </c>
      <c r="H20" t="s">
        <v>74</v>
      </c>
      <c r="I20" t="s">
        <v>422</v>
      </c>
      <c r="J20" t="s">
        <v>399</v>
      </c>
      <c r="K20" t="s">
        <v>74</v>
      </c>
      <c r="L20" t="s">
        <v>74</v>
      </c>
      <c r="M20" t="s">
        <v>77</v>
      </c>
      <c r="N20" t="s">
        <v>78</v>
      </c>
      <c r="O20" t="s">
        <v>74</v>
      </c>
      <c r="P20" t="s">
        <v>74</v>
      </c>
      <c r="Q20" t="s">
        <v>74</v>
      </c>
      <c r="R20" t="s">
        <v>74</v>
      </c>
      <c r="S20" t="s">
        <v>74</v>
      </c>
      <c r="T20" t="s">
        <v>74</v>
      </c>
      <c r="U20" t="s">
        <v>423</v>
      </c>
      <c r="V20" t="s">
        <v>424</v>
      </c>
      <c r="W20" t="s">
        <v>425</v>
      </c>
      <c r="X20" t="s">
        <v>426</v>
      </c>
      <c r="Y20" t="s">
        <v>427</v>
      </c>
      <c r="Z20" t="s">
        <v>428</v>
      </c>
      <c r="AA20" t="s">
        <v>429</v>
      </c>
      <c r="AB20" t="s">
        <v>430</v>
      </c>
      <c r="AC20" t="s">
        <v>74</v>
      </c>
      <c r="AD20" t="s">
        <v>74</v>
      </c>
      <c r="AE20" t="s">
        <v>74</v>
      </c>
      <c r="AF20" t="s">
        <v>74</v>
      </c>
      <c r="AG20">
        <v>99</v>
      </c>
      <c r="AH20">
        <v>49</v>
      </c>
      <c r="AI20">
        <v>51</v>
      </c>
      <c r="AJ20">
        <v>0</v>
      </c>
      <c r="AK20">
        <v>19</v>
      </c>
      <c r="AL20" t="s">
        <v>431</v>
      </c>
      <c r="AM20" t="s">
        <v>432</v>
      </c>
      <c r="AN20" t="s">
        <v>433</v>
      </c>
      <c r="AO20" t="s">
        <v>411</v>
      </c>
      <c r="AP20" t="s">
        <v>434</v>
      </c>
      <c r="AQ20" t="s">
        <v>74</v>
      </c>
      <c r="AR20" t="s">
        <v>412</v>
      </c>
      <c r="AS20" t="s">
        <v>413</v>
      </c>
      <c r="AT20" t="s">
        <v>74</v>
      </c>
      <c r="AU20">
        <v>2006</v>
      </c>
      <c r="AV20">
        <v>2</v>
      </c>
      <c r="AW20">
        <v>2</v>
      </c>
      <c r="AX20" t="s">
        <v>74</v>
      </c>
      <c r="AY20" t="s">
        <v>74</v>
      </c>
      <c r="AZ20" t="s">
        <v>74</v>
      </c>
      <c r="BA20" t="s">
        <v>74</v>
      </c>
      <c r="BB20">
        <v>57</v>
      </c>
      <c r="BC20">
        <v>78</v>
      </c>
      <c r="BD20" t="s">
        <v>74</v>
      </c>
      <c r="BE20" t="s">
        <v>74</v>
      </c>
      <c r="BF20" t="s">
        <v>74</v>
      </c>
      <c r="BG20" t="s">
        <v>74</v>
      </c>
      <c r="BH20" t="s">
        <v>74</v>
      </c>
      <c r="BI20">
        <v>22</v>
      </c>
      <c r="BJ20" t="s">
        <v>415</v>
      </c>
      <c r="BK20" t="s">
        <v>98</v>
      </c>
      <c r="BL20" t="s">
        <v>416</v>
      </c>
      <c r="BM20" t="s">
        <v>435</v>
      </c>
      <c r="BN20" t="s">
        <v>74</v>
      </c>
      <c r="BO20" t="s">
        <v>436</v>
      </c>
      <c r="BP20" t="s">
        <v>74</v>
      </c>
      <c r="BQ20" t="s">
        <v>74</v>
      </c>
      <c r="BR20" t="s">
        <v>101</v>
      </c>
      <c r="BS20" t="s">
        <v>437</v>
      </c>
      <c r="BT20" t="str">
        <f>HYPERLINK("https%3A%2F%2Fwww.webofscience.com%2Fwos%2Fwoscc%2Ffull-record%2FWOS:000244506500001","View Full Record in Web of Science")</f>
        <v>View Full Record in Web of Science</v>
      </c>
    </row>
    <row r="21" spans="1:72" x14ac:dyDescent="0.15">
      <c r="A21" t="s">
        <v>72</v>
      </c>
      <c r="B21" t="s">
        <v>438</v>
      </c>
      <c r="C21" t="s">
        <v>74</v>
      </c>
      <c r="D21" t="s">
        <v>74</v>
      </c>
      <c r="E21" t="s">
        <v>74</v>
      </c>
      <c r="F21" t="s">
        <v>439</v>
      </c>
      <c r="G21" t="s">
        <v>74</v>
      </c>
      <c r="H21" t="s">
        <v>74</v>
      </c>
      <c r="I21" t="s">
        <v>440</v>
      </c>
      <c r="J21" t="s">
        <v>399</v>
      </c>
      <c r="K21" t="s">
        <v>74</v>
      </c>
      <c r="L21" t="s">
        <v>74</v>
      </c>
      <c r="M21" t="s">
        <v>77</v>
      </c>
      <c r="N21" t="s">
        <v>289</v>
      </c>
      <c r="O21" t="s">
        <v>74</v>
      </c>
      <c r="P21" t="s">
        <v>74</v>
      </c>
      <c r="Q21" t="s">
        <v>74</v>
      </c>
      <c r="R21" t="s">
        <v>74</v>
      </c>
      <c r="S21" t="s">
        <v>74</v>
      </c>
      <c r="T21" t="s">
        <v>74</v>
      </c>
      <c r="U21" t="s">
        <v>441</v>
      </c>
      <c r="V21" t="s">
        <v>442</v>
      </c>
      <c r="W21" t="s">
        <v>443</v>
      </c>
      <c r="X21" t="s">
        <v>444</v>
      </c>
      <c r="Y21" t="s">
        <v>445</v>
      </c>
      <c r="Z21" t="s">
        <v>446</v>
      </c>
      <c r="AA21" t="s">
        <v>447</v>
      </c>
      <c r="AB21" t="s">
        <v>448</v>
      </c>
      <c r="AC21" t="s">
        <v>74</v>
      </c>
      <c r="AD21" t="s">
        <v>74</v>
      </c>
      <c r="AE21" t="s">
        <v>74</v>
      </c>
      <c r="AF21" t="s">
        <v>74</v>
      </c>
      <c r="AG21">
        <v>130</v>
      </c>
      <c r="AH21">
        <v>82</v>
      </c>
      <c r="AI21">
        <v>89</v>
      </c>
      <c r="AJ21">
        <v>4</v>
      </c>
      <c r="AK21">
        <v>70</v>
      </c>
      <c r="AL21" t="s">
        <v>431</v>
      </c>
      <c r="AM21" t="s">
        <v>432</v>
      </c>
      <c r="AN21" t="s">
        <v>433</v>
      </c>
      <c r="AO21" t="s">
        <v>411</v>
      </c>
      <c r="AP21" t="s">
        <v>434</v>
      </c>
      <c r="AQ21" t="s">
        <v>74</v>
      </c>
      <c r="AR21" t="s">
        <v>412</v>
      </c>
      <c r="AS21" t="s">
        <v>413</v>
      </c>
      <c r="AT21" t="s">
        <v>74</v>
      </c>
      <c r="AU21">
        <v>2006</v>
      </c>
      <c r="AV21">
        <v>2</v>
      </c>
      <c r="AW21">
        <v>2</v>
      </c>
      <c r="AX21" t="s">
        <v>74</v>
      </c>
      <c r="AY21" t="s">
        <v>74</v>
      </c>
      <c r="AZ21" t="s">
        <v>74</v>
      </c>
      <c r="BA21" t="s">
        <v>74</v>
      </c>
      <c r="BB21">
        <v>145</v>
      </c>
      <c r="BC21">
        <v>165</v>
      </c>
      <c r="BD21" t="s">
        <v>74</v>
      </c>
      <c r="BE21" t="s">
        <v>449</v>
      </c>
      <c r="BF21" t="str">
        <f>HYPERLINK("http://dx.doi.org/10.5194/cp-2-145-2006","http://dx.doi.org/10.5194/cp-2-145-2006")</f>
        <v>http://dx.doi.org/10.5194/cp-2-145-2006</v>
      </c>
      <c r="BG21" t="s">
        <v>74</v>
      </c>
      <c r="BH21" t="s">
        <v>74</v>
      </c>
      <c r="BI21">
        <v>21</v>
      </c>
      <c r="BJ21" t="s">
        <v>415</v>
      </c>
      <c r="BK21" t="s">
        <v>98</v>
      </c>
      <c r="BL21" t="s">
        <v>416</v>
      </c>
      <c r="BM21" t="s">
        <v>435</v>
      </c>
      <c r="BN21" t="s">
        <v>74</v>
      </c>
      <c r="BO21" t="s">
        <v>450</v>
      </c>
      <c r="BP21" t="s">
        <v>74</v>
      </c>
      <c r="BQ21" t="s">
        <v>74</v>
      </c>
      <c r="BR21" t="s">
        <v>101</v>
      </c>
      <c r="BS21" t="s">
        <v>451</v>
      </c>
      <c r="BT21" t="str">
        <f>HYPERLINK("https%3A%2F%2Fwww.webofscience.com%2Fwos%2Fwoscc%2Ffull-record%2FWOS:000244506500008","View Full Record in Web of Science")</f>
        <v>View Full Record in Web of Science</v>
      </c>
    </row>
    <row r="22" spans="1:72" x14ac:dyDescent="0.15">
      <c r="A22" t="s">
        <v>72</v>
      </c>
      <c r="B22" t="s">
        <v>452</v>
      </c>
      <c r="C22" t="s">
        <v>74</v>
      </c>
      <c r="D22" t="s">
        <v>74</v>
      </c>
      <c r="E22" t="s">
        <v>74</v>
      </c>
      <c r="F22" t="s">
        <v>453</v>
      </c>
      <c r="G22" t="s">
        <v>74</v>
      </c>
      <c r="H22" t="s">
        <v>74</v>
      </c>
      <c r="I22" t="s">
        <v>454</v>
      </c>
      <c r="J22" t="s">
        <v>399</v>
      </c>
      <c r="K22" t="s">
        <v>74</v>
      </c>
      <c r="L22" t="s">
        <v>74</v>
      </c>
      <c r="M22" t="s">
        <v>77</v>
      </c>
      <c r="N22" t="s">
        <v>289</v>
      </c>
      <c r="O22" t="s">
        <v>74</v>
      </c>
      <c r="P22" t="s">
        <v>74</v>
      </c>
      <c r="Q22" t="s">
        <v>74</v>
      </c>
      <c r="R22" t="s">
        <v>74</v>
      </c>
      <c r="S22" t="s">
        <v>74</v>
      </c>
      <c r="T22" t="s">
        <v>74</v>
      </c>
      <c r="U22" t="s">
        <v>455</v>
      </c>
      <c r="V22" t="s">
        <v>456</v>
      </c>
      <c r="W22" t="s">
        <v>457</v>
      </c>
      <c r="X22" t="s">
        <v>458</v>
      </c>
      <c r="Y22" t="s">
        <v>459</v>
      </c>
      <c r="Z22" t="s">
        <v>460</v>
      </c>
      <c r="AA22" t="s">
        <v>461</v>
      </c>
      <c r="AB22" t="s">
        <v>74</v>
      </c>
      <c r="AC22" t="s">
        <v>74</v>
      </c>
      <c r="AD22" t="s">
        <v>74</v>
      </c>
      <c r="AE22" t="s">
        <v>74</v>
      </c>
      <c r="AF22" t="s">
        <v>74</v>
      </c>
      <c r="AG22">
        <v>101</v>
      </c>
      <c r="AH22">
        <v>3</v>
      </c>
      <c r="AI22">
        <v>3</v>
      </c>
      <c r="AJ22">
        <v>1</v>
      </c>
      <c r="AK22">
        <v>28</v>
      </c>
      <c r="AL22" t="s">
        <v>431</v>
      </c>
      <c r="AM22" t="s">
        <v>432</v>
      </c>
      <c r="AN22" t="s">
        <v>433</v>
      </c>
      <c r="AO22" t="s">
        <v>411</v>
      </c>
      <c r="AP22" t="s">
        <v>434</v>
      </c>
      <c r="AQ22" t="s">
        <v>74</v>
      </c>
      <c r="AR22" t="s">
        <v>412</v>
      </c>
      <c r="AS22" t="s">
        <v>413</v>
      </c>
      <c r="AT22" t="s">
        <v>74</v>
      </c>
      <c r="AU22">
        <v>2006</v>
      </c>
      <c r="AV22">
        <v>2</v>
      </c>
      <c r="AW22">
        <v>2</v>
      </c>
      <c r="AX22" t="s">
        <v>74</v>
      </c>
      <c r="AY22" t="s">
        <v>74</v>
      </c>
      <c r="AZ22" t="s">
        <v>74</v>
      </c>
      <c r="BA22" t="s">
        <v>74</v>
      </c>
      <c r="BB22">
        <v>167</v>
      </c>
      <c r="BC22">
        <v>185</v>
      </c>
      <c r="BD22" t="s">
        <v>74</v>
      </c>
      <c r="BE22" t="s">
        <v>462</v>
      </c>
      <c r="BF22" t="str">
        <f>HYPERLINK("http://dx.doi.org/10.5194/cp-2-167-2006","http://dx.doi.org/10.5194/cp-2-167-2006")</f>
        <v>http://dx.doi.org/10.5194/cp-2-167-2006</v>
      </c>
      <c r="BG22" t="s">
        <v>74</v>
      </c>
      <c r="BH22" t="s">
        <v>74</v>
      </c>
      <c r="BI22">
        <v>19</v>
      </c>
      <c r="BJ22" t="s">
        <v>415</v>
      </c>
      <c r="BK22" t="s">
        <v>98</v>
      </c>
      <c r="BL22" t="s">
        <v>416</v>
      </c>
      <c r="BM22" t="s">
        <v>435</v>
      </c>
      <c r="BN22" t="s">
        <v>74</v>
      </c>
      <c r="BO22" t="s">
        <v>418</v>
      </c>
      <c r="BP22" t="s">
        <v>74</v>
      </c>
      <c r="BQ22" t="s">
        <v>74</v>
      </c>
      <c r="BR22" t="s">
        <v>101</v>
      </c>
      <c r="BS22" t="s">
        <v>463</v>
      </c>
      <c r="BT22" t="str">
        <f>HYPERLINK("https%3A%2F%2Fwww.webofscience.com%2Fwos%2Fwoscc%2Ffull-record%2FWOS:000244506500009","View Full Record in Web of Science")</f>
        <v>View Full Record in Web of Science</v>
      </c>
    </row>
    <row r="23" spans="1:72" x14ac:dyDescent="0.15">
      <c r="A23" t="s">
        <v>72</v>
      </c>
      <c r="B23" t="s">
        <v>464</v>
      </c>
      <c r="C23" t="s">
        <v>74</v>
      </c>
      <c r="D23" t="s">
        <v>74</v>
      </c>
      <c r="E23" t="s">
        <v>74</v>
      </c>
      <c r="F23" t="s">
        <v>465</v>
      </c>
      <c r="G23" t="s">
        <v>74</v>
      </c>
      <c r="H23" t="s">
        <v>74</v>
      </c>
      <c r="I23" t="s">
        <v>466</v>
      </c>
      <c r="J23" t="s">
        <v>467</v>
      </c>
      <c r="K23" t="s">
        <v>74</v>
      </c>
      <c r="L23" t="s">
        <v>74</v>
      </c>
      <c r="M23" t="s">
        <v>468</v>
      </c>
      <c r="N23" t="s">
        <v>78</v>
      </c>
      <c r="O23" t="s">
        <v>74</v>
      </c>
      <c r="P23" t="s">
        <v>74</v>
      </c>
      <c r="Q23" t="s">
        <v>74</v>
      </c>
      <c r="R23" t="s">
        <v>74</v>
      </c>
      <c r="S23" t="s">
        <v>74</v>
      </c>
      <c r="T23" t="s">
        <v>469</v>
      </c>
      <c r="U23" t="s">
        <v>470</v>
      </c>
      <c r="V23" t="s">
        <v>471</v>
      </c>
      <c r="W23" t="s">
        <v>472</v>
      </c>
      <c r="X23" t="s">
        <v>473</v>
      </c>
      <c r="Y23" t="s">
        <v>474</v>
      </c>
      <c r="Z23" t="s">
        <v>475</v>
      </c>
      <c r="AA23" t="s">
        <v>476</v>
      </c>
      <c r="AB23" t="s">
        <v>74</v>
      </c>
      <c r="AC23" t="s">
        <v>74</v>
      </c>
      <c r="AD23" t="s">
        <v>74</v>
      </c>
      <c r="AE23" t="s">
        <v>74</v>
      </c>
      <c r="AF23" t="s">
        <v>74</v>
      </c>
      <c r="AG23">
        <v>44</v>
      </c>
      <c r="AH23">
        <v>4</v>
      </c>
      <c r="AI23">
        <v>4</v>
      </c>
      <c r="AJ23">
        <v>0</v>
      </c>
      <c r="AK23">
        <v>26</v>
      </c>
      <c r="AL23" t="s">
        <v>477</v>
      </c>
      <c r="AM23" t="s">
        <v>478</v>
      </c>
      <c r="AN23" t="s">
        <v>479</v>
      </c>
      <c r="AO23" t="s">
        <v>480</v>
      </c>
      <c r="AP23" t="s">
        <v>481</v>
      </c>
      <c r="AQ23" t="s">
        <v>74</v>
      </c>
      <c r="AR23" t="s">
        <v>482</v>
      </c>
      <c r="AS23" t="s">
        <v>483</v>
      </c>
      <c r="AT23" t="s">
        <v>484</v>
      </c>
      <c r="AU23">
        <v>2006</v>
      </c>
      <c r="AV23">
        <v>5</v>
      </c>
      <c r="AW23" t="s">
        <v>485</v>
      </c>
      <c r="AX23" t="s">
        <v>74</v>
      </c>
      <c r="AY23" t="s">
        <v>74</v>
      </c>
      <c r="AZ23" t="s">
        <v>74</v>
      </c>
      <c r="BA23" t="s">
        <v>74</v>
      </c>
      <c r="BB23">
        <v>45</v>
      </c>
      <c r="BC23">
        <v>55</v>
      </c>
      <c r="BD23" t="s">
        <v>74</v>
      </c>
      <c r="BE23" t="s">
        <v>486</v>
      </c>
      <c r="BF23" t="str">
        <f>HYPERLINK("http://dx.doi.org/10.1016/j.crpv.2005.09.013","http://dx.doi.org/10.1016/j.crpv.2005.09.013")</f>
        <v>http://dx.doi.org/10.1016/j.crpv.2005.09.013</v>
      </c>
      <c r="BG23" t="s">
        <v>74</v>
      </c>
      <c r="BH23" t="s">
        <v>74</v>
      </c>
      <c r="BI23">
        <v>11</v>
      </c>
      <c r="BJ23" t="s">
        <v>487</v>
      </c>
      <c r="BK23" t="s">
        <v>98</v>
      </c>
      <c r="BL23" t="s">
        <v>487</v>
      </c>
      <c r="BM23" t="s">
        <v>488</v>
      </c>
      <c r="BN23" t="s">
        <v>74</v>
      </c>
      <c r="BO23" t="s">
        <v>74</v>
      </c>
      <c r="BP23" t="s">
        <v>74</v>
      </c>
      <c r="BQ23" t="s">
        <v>74</v>
      </c>
      <c r="BR23" t="s">
        <v>101</v>
      </c>
      <c r="BS23" t="s">
        <v>489</v>
      </c>
      <c r="BT23" t="str">
        <f>HYPERLINK("https%3A%2F%2Fwww.webofscience.com%2Fwos%2Fwoscc%2Ffull-record%2FWOS:000238339700007","View Full Record in Web of Science")</f>
        <v>View Full Record in Web of Science</v>
      </c>
    </row>
    <row r="24" spans="1:72" x14ac:dyDescent="0.15">
      <c r="A24" t="s">
        <v>297</v>
      </c>
      <c r="B24" t="s">
        <v>490</v>
      </c>
      <c r="C24" t="s">
        <v>74</v>
      </c>
      <c r="D24" t="s">
        <v>491</v>
      </c>
      <c r="E24" t="s">
        <v>74</v>
      </c>
      <c r="F24" t="s">
        <v>492</v>
      </c>
      <c r="G24" t="s">
        <v>74</v>
      </c>
      <c r="H24" t="s">
        <v>74</v>
      </c>
      <c r="I24" t="s">
        <v>493</v>
      </c>
      <c r="J24" t="s">
        <v>494</v>
      </c>
      <c r="K24" t="s">
        <v>74</v>
      </c>
      <c r="L24" t="s">
        <v>74</v>
      </c>
      <c r="M24" t="s">
        <v>77</v>
      </c>
      <c r="N24" t="s">
        <v>304</v>
      </c>
      <c r="O24" t="s">
        <v>495</v>
      </c>
      <c r="P24" t="s">
        <v>496</v>
      </c>
      <c r="Q24" t="s">
        <v>497</v>
      </c>
      <c r="R24" t="s">
        <v>74</v>
      </c>
      <c r="S24" t="s">
        <v>74</v>
      </c>
      <c r="T24" t="s">
        <v>74</v>
      </c>
      <c r="U24" t="s">
        <v>498</v>
      </c>
      <c r="V24" t="s">
        <v>499</v>
      </c>
      <c r="W24" t="s">
        <v>500</v>
      </c>
      <c r="X24" t="s">
        <v>501</v>
      </c>
      <c r="Y24" t="s">
        <v>502</v>
      </c>
      <c r="Z24" t="s">
        <v>503</v>
      </c>
      <c r="AA24" t="s">
        <v>74</v>
      </c>
      <c r="AB24" t="s">
        <v>504</v>
      </c>
      <c r="AC24" t="s">
        <v>74</v>
      </c>
      <c r="AD24" t="s">
        <v>74</v>
      </c>
      <c r="AE24" t="s">
        <v>74</v>
      </c>
      <c r="AF24" t="s">
        <v>74</v>
      </c>
      <c r="AG24">
        <v>3</v>
      </c>
      <c r="AH24">
        <v>0</v>
      </c>
      <c r="AI24">
        <v>0</v>
      </c>
      <c r="AJ24">
        <v>0</v>
      </c>
      <c r="AK24">
        <v>0</v>
      </c>
      <c r="AL24" t="s">
        <v>505</v>
      </c>
      <c r="AM24" t="s">
        <v>89</v>
      </c>
      <c r="AN24" t="s">
        <v>506</v>
      </c>
      <c r="AO24" t="s">
        <v>74</v>
      </c>
      <c r="AP24" t="s">
        <v>74</v>
      </c>
      <c r="AQ24" t="s">
        <v>507</v>
      </c>
      <c r="AR24" t="s">
        <v>74</v>
      </c>
      <c r="AS24" t="s">
        <v>74</v>
      </c>
      <c r="AT24" t="s">
        <v>74</v>
      </c>
      <c r="AU24">
        <v>2006</v>
      </c>
      <c r="AV24" t="s">
        <v>74</v>
      </c>
      <c r="AW24" t="s">
        <v>74</v>
      </c>
      <c r="AX24" t="s">
        <v>74</v>
      </c>
      <c r="AY24" t="s">
        <v>74</v>
      </c>
      <c r="AZ24" t="s">
        <v>74</v>
      </c>
      <c r="BA24" t="s">
        <v>74</v>
      </c>
      <c r="BB24">
        <v>180</v>
      </c>
      <c r="BC24">
        <v>180</v>
      </c>
      <c r="BD24" t="s">
        <v>74</v>
      </c>
      <c r="BE24" t="s">
        <v>74</v>
      </c>
      <c r="BF24" t="s">
        <v>74</v>
      </c>
      <c r="BG24" t="s">
        <v>74</v>
      </c>
      <c r="BH24" t="s">
        <v>74</v>
      </c>
      <c r="BI24">
        <v>1</v>
      </c>
      <c r="BJ24" t="s">
        <v>508</v>
      </c>
      <c r="BK24" t="s">
        <v>328</v>
      </c>
      <c r="BL24" t="s">
        <v>509</v>
      </c>
      <c r="BM24" t="s">
        <v>510</v>
      </c>
      <c r="BN24" t="s">
        <v>74</v>
      </c>
      <c r="BO24" t="s">
        <v>74</v>
      </c>
      <c r="BP24" t="s">
        <v>74</v>
      </c>
      <c r="BQ24" t="s">
        <v>74</v>
      </c>
      <c r="BR24" t="s">
        <v>101</v>
      </c>
      <c r="BS24" t="s">
        <v>511</v>
      </c>
      <c r="BT24" t="str">
        <f>HYPERLINK("https%3A%2F%2Fwww.webofscience.com%2Fwos%2Fwoscc%2Ffull-record%2FWOS:000246942200178","View Full Record in Web of Science")</f>
        <v>View Full Record in Web of Science</v>
      </c>
    </row>
    <row r="25" spans="1:72" x14ac:dyDescent="0.15">
      <c r="A25" t="s">
        <v>72</v>
      </c>
      <c r="B25" t="s">
        <v>512</v>
      </c>
      <c r="C25" t="s">
        <v>74</v>
      </c>
      <c r="D25" t="s">
        <v>74</v>
      </c>
      <c r="E25" t="s">
        <v>74</v>
      </c>
      <c r="F25" t="s">
        <v>513</v>
      </c>
      <c r="G25" t="s">
        <v>74</v>
      </c>
      <c r="H25" t="s">
        <v>74</v>
      </c>
      <c r="I25" t="s">
        <v>514</v>
      </c>
      <c r="J25" t="s">
        <v>515</v>
      </c>
      <c r="K25" t="s">
        <v>74</v>
      </c>
      <c r="L25" t="s">
        <v>74</v>
      </c>
      <c r="M25" t="s">
        <v>77</v>
      </c>
      <c r="N25" t="s">
        <v>78</v>
      </c>
      <c r="O25" t="s">
        <v>74</v>
      </c>
      <c r="P25" t="s">
        <v>74</v>
      </c>
      <c r="Q25" t="s">
        <v>74</v>
      </c>
      <c r="R25" t="s">
        <v>74</v>
      </c>
      <c r="S25" t="s">
        <v>74</v>
      </c>
      <c r="T25" t="s">
        <v>516</v>
      </c>
      <c r="U25" t="s">
        <v>517</v>
      </c>
      <c r="V25" t="s">
        <v>518</v>
      </c>
      <c r="W25" t="s">
        <v>519</v>
      </c>
      <c r="X25" t="s">
        <v>520</v>
      </c>
      <c r="Y25" t="s">
        <v>521</v>
      </c>
      <c r="Z25" t="s">
        <v>522</v>
      </c>
      <c r="AA25" t="s">
        <v>74</v>
      </c>
      <c r="AB25" t="s">
        <v>74</v>
      </c>
      <c r="AC25" t="s">
        <v>74</v>
      </c>
      <c r="AD25" t="s">
        <v>74</v>
      </c>
      <c r="AE25" t="s">
        <v>74</v>
      </c>
      <c r="AF25" t="s">
        <v>74</v>
      </c>
      <c r="AG25">
        <v>18</v>
      </c>
      <c r="AH25">
        <v>14</v>
      </c>
      <c r="AI25">
        <v>16</v>
      </c>
      <c r="AJ25">
        <v>0</v>
      </c>
      <c r="AK25">
        <v>1</v>
      </c>
      <c r="AL25" t="s">
        <v>523</v>
      </c>
      <c r="AM25" t="s">
        <v>524</v>
      </c>
      <c r="AN25" t="s">
        <v>525</v>
      </c>
      <c r="AO25" t="s">
        <v>526</v>
      </c>
      <c r="AP25" t="s">
        <v>527</v>
      </c>
      <c r="AQ25" t="s">
        <v>74</v>
      </c>
      <c r="AR25" t="s">
        <v>528</v>
      </c>
      <c r="AS25" t="s">
        <v>529</v>
      </c>
      <c r="AT25" t="s">
        <v>74</v>
      </c>
      <c r="AU25">
        <v>2006</v>
      </c>
      <c r="AV25">
        <v>75</v>
      </c>
      <c r="AW25" t="s">
        <v>530</v>
      </c>
      <c r="AX25" t="s">
        <v>74</v>
      </c>
      <c r="AY25" t="s">
        <v>74</v>
      </c>
      <c r="AZ25" t="s">
        <v>74</v>
      </c>
      <c r="BA25" t="s">
        <v>74</v>
      </c>
      <c r="BB25">
        <v>169</v>
      </c>
      <c r="BC25">
        <v>188</v>
      </c>
      <c r="BD25" t="s">
        <v>74</v>
      </c>
      <c r="BE25" t="s">
        <v>531</v>
      </c>
      <c r="BF25" t="str">
        <f>HYPERLINK("http://dx.doi.org/10.1163/18759866-0750304006","http://dx.doi.org/10.1163/18759866-0750304006")</f>
        <v>http://dx.doi.org/10.1163/18759866-0750304006</v>
      </c>
      <c r="BG25" t="s">
        <v>74</v>
      </c>
      <c r="BH25" t="s">
        <v>74</v>
      </c>
      <c r="BI25">
        <v>20</v>
      </c>
      <c r="BJ25" t="s">
        <v>532</v>
      </c>
      <c r="BK25" t="s">
        <v>98</v>
      </c>
      <c r="BL25" t="s">
        <v>532</v>
      </c>
      <c r="BM25" t="s">
        <v>533</v>
      </c>
      <c r="BN25" t="s">
        <v>74</v>
      </c>
      <c r="BO25" t="s">
        <v>534</v>
      </c>
      <c r="BP25" t="s">
        <v>74</v>
      </c>
      <c r="BQ25" t="s">
        <v>74</v>
      </c>
      <c r="BR25" t="s">
        <v>101</v>
      </c>
      <c r="BS25" t="s">
        <v>535</v>
      </c>
      <c r="BT25" t="str">
        <f>HYPERLINK("https%3A%2F%2Fwww.webofscience.com%2Fwos%2Fwoscc%2Ffull-record%2FWOS:000243218000006","View Full Record in Web of Science")</f>
        <v>View Full Record in Web of Science</v>
      </c>
    </row>
    <row r="26" spans="1:72" x14ac:dyDescent="0.15">
      <c r="A26" t="s">
        <v>374</v>
      </c>
      <c r="B26" t="s">
        <v>536</v>
      </c>
      <c r="C26" t="s">
        <v>74</v>
      </c>
      <c r="D26" t="s">
        <v>537</v>
      </c>
      <c r="E26" t="s">
        <v>74</v>
      </c>
      <c r="F26" t="s">
        <v>538</v>
      </c>
      <c r="G26" t="s">
        <v>74</v>
      </c>
      <c r="H26" t="s">
        <v>74</v>
      </c>
      <c r="I26" t="s">
        <v>539</v>
      </c>
      <c r="J26" t="s">
        <v>540</v>
      </c>
      <c r="K26" t="s">
        <v>74</v>
      </c>
      <c r="L26" t="s">
        <v>74</v>
      </c>
      <c r="M26" t="s">
        <v>77</v>
      </c>
      <c r="N26" t="s">
        <v>381</v>
      </c>
      <c r="O26" t="s">
        <v>74</v>
      </c>
      <c r="P26" t="s">
        <v>74</v>
      </c>
      <c r="Q26" t="s">
        <v>74</v>
      </c>
      <c r="R26" t="s">
        <v>74</v>
      </c>
      <c r="S26" t="s">
        <v>74</v>
      </c>
      <c r="T26" t="s">
        <v>74</v>
      </c>
      <c r="U26" t="s">
        <v>541</v>
      </c>
      <c r="V26" t="s">
        <v>74</v>
      </c>
      <c r="W26" t="s">
        <v>542</v>
      </c>
      <c r="X26" t="s">
        <v>543</v>
      </c>
      <c r="Y26" t="s">
        <v>544</v>
      </c>
      <c r="Z26" t="s">
        <v>545</v>
      </c>
      <c r="AA26" t="s">
        <v>546</v>
      </c>
      <c r="AB26" t="s">
        <v>74</v>
      </c>
      <c r="AC26" t="s">
        <v>74</v>
      </c>
      <c r="AD26" t="s">
        <v>74</v>
      </c>
      <c r="AE26" t="s">
        <v>74</v>
      </c>
      <c r="AF26" t="s">
        <v>74</v>
      </c>
      <c r="AG26">
        <v>11</v>
      </c>
      <c r="AH26">
        <v>4</v>
      </c>
      <c r="AI26">
        <v>4</v>
      </c>
      <c r="AJ26">
        <v>0</v>
      </c>
      <c r="AK26">
        <v>1</v>
      </c>
      <c r="AL26" t="s">
        <v>547</v>
      </c>
      <c r="AM26" t="s">
        <v>548</v>
      </c>
      <c r="AN26" t="s">
        <v>549</v>
      </c>
      <c r="AO26" t="s">
        <v>74</v>
      </c>
      <c r="AP26" t="s">
        <v>74</v>
      </c>
      <c r="AQ26" t="s">
        <v>550</v>
      </c>
      <c r="AR26" t="s">
        <v>74</v>
      </c>
      <c r="AS26" t="s">
        <v>74</v>
      </c>
      <c r="AT26" t="s">
        <v>74</v>
      </c>
      <c r="AU26">
        <v>2006</v>
      </c>
      <c r="AV26" t="s">
        <v>74</v>
      </c>
      <c r="AW26" t="s">
        <v>74</v>
      </c>
      <c r="AX26" t="s">
        <v>74</v>
      </c>
      <c r="AY26" t="s">
        <v>74</v>
      </c>
      <c r="AZ26" t="s">
        <v>74</v>
      </c>
      <c r="BA26" t="s">
        <v>74</v>
      </c>
      <c r="BB26">
        <v>195</v>
      </c>
      <c r="BC26">
        <v>205</v>
      </c>
      <c r="BD26" t="s">
        <v>74</v>
      </c>
      <c r="BE26" t="s">
        <v>551</v>
      </c>
      <c r="BF26" t="str">
        <f>HYPERLINK("http://dx.doi.org/10.1079/9781845930486.0195","http://dx.doi.org/10.1079/9781845930486.0195")</f>
        <v>http://dx.doi.org/10.1079/9781845930486.0195</v>
      </c>
      <c r="BG26" t="s">
        <v>552</v>
      </c>
      <c r="BH26" t="s">
        <v>74</v>
      </c>
      <c r="BI26">
        <v>11</v>
      </c>
      <c r="BJ26" t="s">
        <v>553</v>
      </c>
      <c r="BK26" t="s">
        <v>554</v>
      </c>
      <c r="BL26" t="s">
        <v>555</v>
      </c>
      <c r="BM26" t="s">
        <v>556</v>
      </c>
      <c r="BN26" t="s">
        <v>74</v>
      </c>
      <c r="BO26" t="s">
        <v>74</v>
      </c>
      <c r="BP26" t="s">
        <v>74</v>
      </c>
      <c r="BQ26" t="s">
        <v>74</v>
      </c>
      <c r="BR26" t="s">
        <v>101</v>
      </c>
      <c r="BS26" t="s">
        <v>557</v>
      </c>
      <c r="BT26" t="str">
        <f>HYPERLINK("https%3A%2F%2Fwww.webofscience.com%2Fwos%2Fwoscc%2Ffull-record%2FWOS:000293332800021","View Full Record in Web of Science")</f>
        <v>View Full Record in Web of Science</v>
      </c>
    </row>
    <row r="27" spans="1:72" x14ac:dyDescent="0.15">
      <c r="A27" t="s">
        <v>72</v>
      </c>
      <c r="B27" t="s">
        <v>558</v>
      </c>
      <c r="C27" t="s">
        <v>74</v>
      </c>
      <c r="D27" t="s">
        <v>74</v>
      </c>
      <c r="E27" t="s">
        <v>74</v>
      </c>
      <c r="F27" t="s">
        <v>558</v>
      </c>
      <c r="G27" t="s">
        <v>74</v>
      </c>
      <c r="H27" t="s">
        <v>74</v>
      </c>
      <c r="I27" t="s">
        <v>559</v>
      </c>
      <c r="J27" t="s">
        <v>560</v>
      </c>
      <c r="K27" t="s">
        <v>74</v>
      </c>
      <c r="L27" t="s">
        <v>74</v>
      </c>
      <c r="M27" t="s">
        <v>77</v>
      </c>
      <c r="N27" t="s">
        <v>78</v>
      </c>
      <c r="O27" t="s">
        <v>74</v>
      </c>
      <c r="P27" t="s">
        <v>74</v>
      </c>
      <c r="Q27" t="s">
        <v>74</v>
      </c>
      <c r="R27" t="s">
        <v>74</v>
      </c>
      <c r="S27" t="s">
        <v>74</v>
      </c>
      <c r="T27" t="s">
        <v>561</v>
      </c>
      <c r="U27" t="s">
        <v>74</v>
      </c>
      <c r="V27" t="s">
        <v>562</v>
      </c>
      <c r="W27" t="s">
        <v>563</v>
      </c>
      <c r="X27" t="s">
        <v>564</v>
      </c>
      <c r="Y27" t="s">
        <v>565</v>
      </c>
      <c r="Z27" t="s">
        <v>566</v>
      </c>
      <c r="AA27" t="s">
        <v>567</v>
      </c>
      <c r="AB27" t="s">
        <v>74</v>
      </c>
      <c r="AC27" t="s">
        <v>74</v>
      </c>
      <c r="AD27" t="s">
        <v>74</v>
      </c>
      <c r="AE27" t="s">
        <v>74</v>
      </c>
      <c r="AF27" t="s">
        <v>74</v>
      </c>
      <c r="AG27">
        <v>69</v>
      </c>
      <c r="AH27">
        <v>12</v>
      </c>
      <c r="AI27">
        <v>13</v>
      </c>
      <c r="AJ27">
        <v>0</v>
      </c>
      <c r="AK27">
        <v>1</v>
      </c>
      <c r="AL27" t="s">
        <v>568</v>
      </c>
      <c r="AM27" t="s">
        <v>569</v>
      </c>
      <c r="AN27" t="s">
        <v>570</v>
      </c>
      <c r="AO27" t="s">
        <v>571</v>
      </c>
      <c r="AP27" t="s">
        <v>74</v>
      </c>
      <c r="AQ27" t="s">
        <v>74</v>
      </c>
      <c r="AR27" t="s">
        <v>572</v>
      </c>
      <c r="AS27" t="s">
        <v>573</v>
      </c>
      <c r="AT27" t="s">
        <v>95</v>
      </c>
      <c r="AU27">
        <v>2006</v>
      </c>
      <c r="AV27">
        <v>27</v>
      </c>
      <c r="AW27">
        <v>1</v>
      </c>
      <c r="AX27" t="s">
        <v>74</v>
      </c>
      <c r="AY27" t="s">
        <v>74</v>
      </c>
      <c r="AZ27" t="s">
        <v>74</v>
      </c>
      <c r="BA27" t="s">
        <v>74</v>
      </c>
      <c r="BB27">
        <v>131</v>
      </c>
      <c r="BC27">
        <v>139</v>
      </c>
      <c r="BD27" t="s">
        <v>74</v>
      </c>
      <c r="BE27" t="s">
        <v>74</v>
      </c>
      <c r="BF27" t="s">
        <v>74</v>
      </c>
      <c r="BG27" t="s">
        <v>74</v>
      </c>
      <c r="BH27" t="s">
        <v>74</v>
      </c>
      <c r="BI27">
        <v>9</v>
      </c>
      <c r="BJ27" t="s">
        <v>574</v>
      </c>
      <c r="BK27" t="s">
        <v>98</v>
      </c>
      <c r="BL27" t="s">
        <v>574</v>
      </c>
      <c r="BM27" t="s">
        <v>575</v>
      </c>
      <c r="BN27" t="s">
        <v>74</v>
      </c>
      <c r="BO27" t="s">
        <v>74</v>
      </c>
      <c r="BP27" t="s">
        <v>74</v>
      </c>
      <c r="BQ27" t="s">
        <v>74</v>
      </c>
      <c r="BR27" t="s">
        <v>101</v>
      </c>
      <c r="BS27" t="s">
        <v>576</v>
      </c>
      <c r="BT27" t="str">
        <f>HYPERLINK("https%3A%2F%2Fwww.webofscience.com%2Fwos%2Fwoscc%2Ffull-record%2FWOS:000235239900011","View Full Record in Web of Science")</f>
        <v>View Full Record in Web of Science</v>
      </c>
    </row>
    <row r="28" spans="1:72" x14ac:dyDescent="0.15">
      <c r="A28" t="s">
        <v>577</v>
      </c>
      <c r="B28" t="s">
        <v>578</v>
      </c>
      <c r="C28" t="s">
        <v>74</v>
      </c>
      <c r="D28" t="s">
        <v>579</v>
      </c>
      <c r="E28" t="s">
        <v>74</v>
      </c>
      <c r="F28" t="s">
        <v>578</v>
      </c>
      <c r="G28" t="s">
        <v>74</v>
      </c>
      <c r="H28" t="s">
        <v>74</v>
      </c>
      <c r="I28" t="s">
        <v>580</v>
      </c>
      <c r="J28" t="s">
        <v>581</v>
      </c>
      <c r="K28" t="s">
        <v>582</v>
      </c>
      <c r="L28" t="s">
        <v>74</v>
      </c>
      <c r="M28" t="s">
        <v>77</v>
      </c>
      <c r="N28" t="s">
        <v>78</v>
      </c>
      <c r="O28" t="s">
        <v>74</v>
      </c>
      <c r="P28" t="s">
        <v>74</v>
      </c>
      <c r="Q28" t="s">
        <v>74</v>
      </c>
      <c r="R28" t="s">
        <v>74</v>
      </c>
      <c r="S28" t="s">
        <v>74</v>
      </c>
      <c r="T28" t="s">
        <v>74</v>
      </c>
      <c r="U28" t="s">
        <v>583</v>
      </c>
      <c r="V28" t="s">
        <v>584</v>
      </c>
      <c r="W28" t="s">
        <v>585</v>
      </c>
      <c r="X28" t="s">
        <v>274</v>
      </c>
      <c r="Y28" t="s">
        <v>586</v>
      </c>
      <c r="Z28" t="s">
        <v>587</v>
      </c>
      <c r="AA28" t="s">
        <v>74</v>
      </c>
      <c r="AB28" t="s">
        <v>74</v>
      </c>
      <c r="AC28" t="s">
        <v>74</v>
      </c>
      <c r="AD28" t="s">
        <v>74</v>
      </c>
      <c r="AE28" t="s">
        <v>74</v>
      </c>
      <c r="AF28" t="s">
        <v>74</v>
      </c>
      <c r="AG28">
        <v>33</v>
      </c>
      <c r="AH28">
        <v>0</v>
      </c>
      <c r="AI28">
        <v>0</v>
      </c>
      <c r="AJ28">
        <v>0</v>
      </c>
      <c r="AK28">
        <v>1</v>
      </c>
      <c r="AL28" t="s">
        <v>588</v>
      </c>
      <c r="AM28" t="s">
        <v>589</v>
      </c>
      <c r="AN28" t="s">
        <v>590</v>
      </c>
      <c r="AO28" t="s">
        <v>591</v>
      </c>
      <c r="AP28" t="s">
        <v>592</v>
      </c>
      <c r="AQ28" t="s">
        <v>593</v>
      </c>
      <c r="AR28" t="s">
        <v>594</v>
      </c>
      <c r="AS28" t="s">
        <v>74</v>
      </c>
      <c r="AT28" t="s">
        <v>74</v>
      </c>
      <c r="AU28">
        <v>2006</v>
      </c>
      <c r="AV28">
        <v>3755</v>
      </c>
      <c r="AW28" t="s">
        <v>74</v>
      </c>
      <c r="AX28" t="s">
        <v>74</v>
      </c>
      <c r="AY28" t="s">
        <v>74</v>
      </c>
      <c r="AZ28" t="s">
        <v>74</v>
      </c>
      <c r="BA28" t="s">
        <v>74</v>
      </c>
      <c r="BB28">
        <v>14</v>
      </c>
      <c r="BC28">
        <v>27</v>
      </c>
      <c r="BD28" t="s">
        <v>74</v>
      </c>
      <c r="BE28" t="s">
        <v>74</v>
      </c>
      <c r="BF28" t="s">
        <v>74</v>
      </c>
      <c r="BG28" t="s">
        <v>74</v>
      </c>
      <c r="BH28" t="s">
        <v>74</v>
      </c>
      <c r="BI28">
        <v>14</v>
      </c>
      <c r="BJ28" t="s">
        <v>595</v>
      </c>
      <c r="BK28" t="s">
        <v>98</v>
      </c>
      <c r="BL28" t="s">
        <v>596</v>
      </c>
      <c r="BM28" t="s">
        <v>597</v>
      </c>
      <c r="BN28" t="s">
        <v>74</v>
      </c>
      <c r="BO28" t="s">
        <v>74</v>
      </c>
      <c r="BP28" t="s">
        <v>74</v>
      </c>
      <c r="BQ28" t="s">
        <v>74</v>
      </c>
      <c r="BR28" t="s">
        <v>101</v>
      </c>
      <c r="BS28" t="s">
        <v>598</v>
      </c>
      <c r="BT28" t="str">
        <f>HYPERLINK("https%3A%2F%2Fwww.webofscience.com%2Fwos%2Fwoscc%2Ffull-record%2FWOS:000236545100002","View Full Record in Web of Science")</f>
        <v>View Full Record in Web of Science</v>
      </c>
    </row>
    <row r="29" spans="1:72" x14ac:dyDescent="0.15">
      <c r="A29" t="s">
        <v>374</v>
      </c>
      <c r="B29" t="s">
        <v>599</v>
      </c>
      <c r="C29" t="s">
        <v>600</v>
      </c>
      <c r="D29" t="s">
        <v>74</v>
      </c>
      <c r="E29" t="s">
        <v>74</v>
      </c>
      <c r="F29" t="s">
        <v>601</v>
      </c>
      <c r="G29" t="s">
        <v>600</v>
      </c>
      <c r="H29" t="s">
        <v>74</v>
      </c>
      <c r="I29" t="s">
        <v>602</v>
      </c>
      <c r="J29" t="s">
        <v>603</v>
      </c>
      <c r="K29" t="s">
        <v>74</v>
      </c>
      <c r="L29" t="s">
        <v>74</v>
      </c>
      <c r="M29" t="s">
        <v>77</v>
      </c>
      <c r="N29" t="s">
        <v>381</v>
      </c>
      <c r="O29" t="s">
        <v>74</v>
      </c>
      <c r="P29" t="s">
        <v>74</v>
      </c>
      <c r="Q29" t="s">
        <v>74</v>
      </c>
      <c r="R29" t="s">
        <v>74</v>
      </c>
      <c r="S29" t="s">
        <v>74</v>
      </c>
      <c r="T29" t="s">
        <v>74</v>
      </c>
      <c r="U29" t="s">
        <v>74</v>
      </c>
      <c r="V29" t="s">
        <v>74</v>
      </c>
      <c r="W29" t="s">
        <v>74</v>
      </c>
      <c r="X29" t="s">
        <v>74</v>
      </c>
      <c r="Y29" t="s">
        <v>74</v>
      </c>
      <c r="Z29" t="s">
        <v>74</v>
      </c>
      <c r="AA29" t="s">
        <v>74</v>
      </c>
      <c r="AB29" t="s">
        <v>74</v>
      </c>
      <c r="AC29" t="s">
        <v>74</v>
      </c>
      <c r="AD29" t="s">
        <v>74</v>
      </c>
      <c r="AE29" t="s">
        <v>74</v>
      </c>
      <c r="AF29" t="s">
        <v>74</v>
      </c>
      <c r="AG29">
        <v>0</v>
      </c>
      <c r="AH29">
        <v>0</v>
      </c>
      <c r="AI29">
        <v>0</v>
      </c>
      <c r="AJ29">
        <v>0</v>
      </c>
      <c r="AK29">
        <v>0</v>
      </c>
      <c r="AL29" t="s">
        <v>604</v>
      </c>
      <c r="AM29" t="s">
        <v>605</v>
      </c>
      <c r="AN29" t="s">
        <v>606</v>
      </c>
      <c r="AO29" t="s">
        <v>74</v>
      </c>
      <c r="AP29" t="s">
        <v>74</v>
      </c>
      <c r="AQ29" t="s">
        <v>607</v>
      </c>
      <c r="AR29" t="s">
        <v>74</v>
      </c>
      <c r="AS29" t="s">
        <v>74</v>
      </c>
      <c r="AT29" t="s">
        <v>74</v>
      </c>
      <c r="AU29">
        <v>2006</v>
      </c>
      <c r="AV29" t="s">
        <v>74</v>
      </c>
      <c r="AW29" t="s">
        <v>74</v>
      </c>
      <c r="AX29" t="s">
        <v>74</v>
      </c>
      <c r="AY29" t="s">
        <v>74</v>
      </c>
      <c r="AZ29" t="s">
        <v>74</v>
      </c>
      <c r="BA29" t="s">
        <v>74</v>
      </c>
      <c r="BB29">
        <v>239</v>
      </c>
      <c r="BC29">
        <v>258</v>
      </c>
      <c r="BD29" t="s">
        <v>74</v>
      </c>
      <c r="BE29" t="s">
        <v>74</v>
      </c>
      <c r="BF29" t="s">
        <v>74</v>
      </c>
      <c r="BG29" t="s">
        <v>74</v>
      </c>
      <c r="BH29" t="s">
        <v>74</v>
      </c>
      <c r="BI29">
        <v>20</v>
      </c>
      <c r="BJ29" t="s">
        <v>608</v>
      </c>
      <c r="BK29" t="s">
        <v>609</v>
      </c>
      <c r="BL29" t="s">
        <v>610</v>
      </c>
      <c r="BM29" t="s">
        <v>611</v>
      </c>
      <c r="BN29" t="s">
        <v>74</v>
      </c>
      <c r="BO29" t="s">
        <v>74</v>
      </c>
      <c r="BP29" t="s">
        <v>74</v>
      </c>
      <c r="BQ29" t="s">
        <v>74</v>
      </c>
      <c r="BR29" t="s">
        <v>101</v>
      </c>
      <c r="BS29" t="s">
        <v>612</v>
      </c>
      <c r="BT29" t="str">
        <f>HYPERLINK("https%3A%2F%2Fwww.webofscience.com%2Fwos%2Fwoscc%2Ffull-record%2FWOS:000299464500013","View Full Record in Web of Science")</f>
        <v>View Full Record in Web of Science</v>
      </c>
    </row>
    <row r="30" spans="1:72" x14ac:dyDescent="0.15">
      <c r="A30" t="s">
        <v>72</v>
      </c>
      <c r="B30" t="s">
        <v>613</v>
      </c>
      <c r="C30" t="s">
        <v>74</v>
      </c>
      <c r="D30" t="s">
        <v>74</v>
      </c>
      <c r="E30" t="s">
        <v>74</v>
      </c>
      <c r="F30" t="s">
        <v>613</v>
      </c>
      <c r="G30" t="s">
        <v>74</v>
      </c>
      <c r="H30" t="s">
        <v>74</v>
      </c>
      <c r="I30" t="s">
        <v>614</v>
      </c>
      <c r="J30" t="s">
        <v>615</v>
      </c>
      <c r="K30" t="s">
        <v>74</v>
      </c>
      <c r="L30" t="s">
        <v>74</v>
      </c>
      <c r="M30" t="s">
        <v>77</v>
      </c>
      <c r="N30" t="s">
        <v>78</v>
      </c>
      <c r="O30" t="s">
        <v>74</v>
      </c>
      <c r="P30" t="s">
        <v>74</v>
      </c>
      <c r="Q30" t="s">
        <v>74</v>
      </c>
      <c r="R30" t="s">
        <v>74</v>
      </c>
      <c r="S30" t="s">
        <v>74</v>
      </c>
      <c r="T30" t="s">
        <v>616</v>
      </c>
      <c r="U30" t="s">
        <v>617</v>
      </c>
      <c r="V30" t="s">
        <v>618</v>
      </c>
      <c r="W30" t="s">
        <v>619</v>
      </c>
      <c r="X30" t="s">
        <v>620</v>
      </c>
      <c r="Y30" t="s">
        <v>621</v>
      </c>
      <c r="Z30" t="s">
        <v>74</v>
      </c>
      <c r="AA30" t="s">
        <v>74</v>
      </c>
      <c r="AB30" t="s">
        <v>74</v>
      </c>
      <c r="AC30" t="s">
        <v>74</v>
      </c>
      <c r="AD30" t="s">
        <v>74</v>
      </c>
      <c r="AE30" t="s">
        <v>74</v>
      </c>
      <c r="AF30" t="s">
        <v>74</v>
      </c>
      <c r="AG30">
        <v>93</v>
      </c>
      <c r="AH30">
        <v>13</v>
      </c>
      <c r="AI30">
        <v>14</v>
      </c>
      <c r="AJ30">
        <v>0</v>
      </c>
      <c r="AK30">
        <v>23</v>
      </c>
      <c r="AL30" t="s">
        <v>622</v>
      </c>
      <c r="AM30" t="s">
        <v>140</v>
      </c>
      <c r="AN30" t="s">
        <v>623</v>
      </c>
      <c r="AO30" t="s">
        <v>624</v>
      </c>
      <c r="AP30" t="s">
        <v>625</v>
      </c>
      <c r="AQ30" t="s">
        <v>74</v>
      </c>
      <c r="AR30" t="s">
        <v>626</v>
      </c>
      <c r="AS30" t="s">
        <v>627</v>
      </c>
      <c r="AT30" t="s">
        <v>95</v>
      </c>
      <c r="AU30">
        <v>2006</v>
      </c>
      <c r="AV30">
        <v>53</v>
      </c>
      <c r="AW30">
        <v>1</v>
      </c>
      <c r="AX30" t="s">
        <v>74</v>
      </c>
      <c r="AY30" t="s">
        <v>74</v>
      </c>
      <c r="AZ30" t="s">
        <v>74</v>
      </c>
      <c r="BA30" t="s">
        <v>74</v>
      </c>
      <c r="BB30">
        <v>111</v>
      </c>
      <c r="BC30">
        <v>135</v>
      </c>
      <c r="BD30" t="s">
        <v>74</v>
      </c>
      <c r="BE30" t="s">
        <v>628</v>
      </c>
      <c r="BF30" t="str">
        <f>HYPERLINK("http://dx.doi.org/10.1016/j.dsr.2005.04.008","http://dx.doi.org/10.1016/j.dsr.2005.04.008")</f>
        <v>http://dx.doi.org/10.1016/j.dsr.2005.04.008</v>
      </c>
      <c r="BG30" t="s">
        <v>74</v>
      </c>
      <c r="BH30" t="s">
        <v>74</v>
      </c>
      <c r="BI30">
        <v>25</v>
      </c>
      <c r="BJ30" t="s">
        <v>629</v>
      </c>
      <c r="BK30" t="s">
        <v>98</v>
      </c>
      <c r="BL30" t="s">
        <v>629</v>
      </c>
      <c r="BM30" t="s">
        <v>630</v>
      </c>
      <c r="BN30" t="s">
        <v>74</v>
      </c>
      <c r="BO30" t="s">
        <v>74</v>
      </c>
      <c r="BP30" t="s">
        <v>74</v>
      </c>
      <c r="BQ30" t="s">
        <v>74</v>
      </c>
      <c r="BR30" t="s">
        <v>101</v>
      </c>
      <c r="BS30" t="s">
        <v>631</v>
      </c>
      <c r="BT30" t="str">
        <f>HYPERLINK("https%3A%2F%2Fwww.webofscience.com%2Fwos%2Fwoscc%2Ffull-record%2FWOS:000235477300008","View Full Record in Web of Science")</f>
        <v>View Full Record in Web of Science</v>
      </c>
    </row>
    <row r="31" spans="1:72" x14ac:dyDescent="0.15">
      <c r="A31" t="s">
        <v>72</v>
      </c>
      <c r="B31" t="s">
        <v>632</v>
      </c>
      <c r="C31" t="s">
        <v>74</v>
      </c>
      <c r="D31" t="s">
        <v>74</v>
      </c>
      <c r="E31" t="s">
        <v>74</v>
      </c>
      <c r="F31" t="s">
        <v>632</v>
      </c>
      <c r="G31" t="s">
        <v>74</v>
      </c>
      <c r="H31" t="s">
        <v>74</v>
      </c>
      <c r="I31" t="s">
        <v>633</v>
      </c>
      <c r="J31" t="s">
        <v>634</v>
      </c>
      <c r="K31" t="s">
        <v>74</v>
      </c>
      <c r="L31" t="s">
        <v>74</v>
      </c>
      <c r="M31" t="s">
        <v>77</v>
      </c>
      <c r="N31" t="s">
        <v>335</v>
      </c>
      <c r="O31" t="s">
        <v>635</v>
      </c>
      <c r="P31" t="s">
        <v>636</v>
      </c>
      <c r="Q31" t="s">
        <v>637</v>
      </c>
      <c r="R31" t="s">
        <v>74</v>
      </c>
      <c r="S31" t="s">
        <v>74</v>
      </c>
      <c r="T31" t="s">
        <v>638</v>
      </c>
      <c r="U31" t="s">
        <v>639</v>
      </c>
      <c r="V31" t="s">
        <v>640</v>
      </c>
      <c r="W31" t="s">
        <v>641</v>
      </c>
      <c r="X31" t="s">
        <v>74</v>
      </c>
      <c r="Y31" t="s">
        <v>642</v>
      </c>
      <c r="Z31" t="s">
        <v>643</v>
      </c>
      <c r="AA31" t="s">
        <v>644</v>
      </c>
      <c r="AB31" t="s">
        <v>645</v>
      </c>
      <c r="AC31" t="s">
        <v>74</v>
      </c>
      <c r="AD31" t="s">
        <v>74</v>
      </c>
      <c r="AE31" t="s">
        <v>74</v>
      </c>
      <c r="AF31" t="s">
        <v>74</v>
      </c>
      <c r="AG31">
        <v>31</v>
      </c>
      <c r="AH31">
        <v>22</v>
      </c>
      <c r="AI31">
        <v>23</v>
      </c>
      <c r="AJ31">
        <v>0</v>
      </c>
      <c r="AK31">
        <v>5</v>
      </c>
      <c r="AL31" t="s">
        <v>622</v>
      </c>
      <c r="AM31" t="s">
        <v>140</v>
      </c>
      <c r="AN31" t="s">
        <v>623</v>
      </c>
      <c r="AO31" t="s">
        <v>646</v>
      </c>
      <c r="AP31" t="s">
        <v>74</v>
      </c>
      <c r="AQ31" t="s">
        <v>74</v>
      </c>
      <c r="AR31" t="s">
        <v>647</v>
      </c>
      <c r="AS31" t="s">
        <v>648</v>
      </c>
      <c r="AT31" t="s">
        <v>74</v>
      </c>
      <c r="AU31">
        <v>2006</v>
      </c>
      <c r="AV31">
        <v>53</v>
      </c>
      <c r="AW31" t="s">
        <v>485</v>
      </c>
      <c r="AX31" t="s">
        <v>74</v>
      </c>
      <c r="AY31" t="s">
        <v>74</v>
      </c>
      <c r="AZ31" t="s">
        <v>74</v>
      </c>
      <c r="BA31" t="s">
        <v>74</v>
      </c>
      <c r="BB31">
        <v>157</v>
      </c>
      <c r="BC31">
        <v>171</v>
      </c>
      <c r="BD31" t="s">
        <v>74</v>
      </c>
      <c r="BE31" t="s">
        <v>649</v>
      </c>
      <c r="BF31" t="str">
        <f>HYPERLINK("http://dx.doi.org/10.1016/j.dsr2.2005.07.011","http://dx.doi.org/10.1016/j.dsr2.2005.07.011")</f>
        <v>http://dx.doi.org/10.1016/j.dsr2.2005.07.011</v>
      </c>
      <c r="BG31" t="s">
        <v>74</v>
      </c>
      <c r="BH31" t="s">
        <v>74</v>
      </c>
      <c r="BI31">
        <v>15</v>
      </c>
      <c r="BJ31" t="s">
        <v>629</v>
      </c>
      <c r="BK31" t="s">
        <v>356</v>
      </c>
      <c r="BL31" t="s">
        <v>629</v>
      </c>
      <c r="BM31" t="s">
        <v>650</v>
      </c>
      <c r="BN31" t="s">
        <v>74</v>
      </c>
      <c r="BO31" t="s">
        <v>74</v>
      </c>
      <c r="BP31" t="s">
        <v>74</v>
      </c>
      <c r="BQ31" t="s">
        <v>74</v>
      </c>
      <c r="BR31" t="s">
        <v>101</v>
      </c>
      <c r="BS31" t="s">
        <v>651</v>
      </c>
      <c r="BT31" t="str">
        <f>HYPERLINK("https%3A%2F%2Fwww.webofscience.com%2Fwos%2Fwoscc%2Ffull-record%2FWOS:000236566100012","View Full Record in Web of Science")</f>
        <v>View Full Record in Web of Science</v>
      </c>
    </row>
    <row r="32" spans="1:72" x14ac:dyDescent="0.15">
      <c r="A32" t="s">
        <v>72</v>
      </c>
      <c r="B32" t="s">
        <v>652</v>
      </c>
      <c r="C32" t="s">
        <v>74</v>
      </c>
      <c r="D32" t="s">
        <v>74</v>
      </c>
      <c r="E32" t="s">
        <v>74</v>
      </c>
      <c r="F32" t="s">
        <v>653</v>
      </c>
      <c r="G32" t="s">
        <v>74</v>
      </c>
      <c r="H32" t="s">
        <v>74</v>
      </c>
      <c r="I32" t="s">
        <v>654</v>
      </c>
      <c r="J32" t="s">
        <v>634</v>
      </c>
      <c r="K32" t="s">
        <v>74</v>
      </c>
      <c r="L32" t="s">
        <v>74</v>
      </c>
      <c r="M32" t="s">
        <v>77</v>
      </c>
      <c r="N32" t="s">
        <v>335</v>
      </c>
      <c r="O32" t="s">
        <v>655</v>
      </c>
      <c r="P32" t="s">
        <v>656</v>
      </c>
      <c r="Q32" t="s">
        <v>657</v>
      </c>
      <c r="R32" t="s">
        <v>74</v>
      </c>
      <c r="S32" t="s">
        <v>74</v>
      </c>
      <c r="T32" t="s">
        <v>658</v>
      </c>
      <c r="U32" t="s">
        <v>659</v>
      </c>
      <c r="V32" t="s">
        <v>660</v>
      </c>
      <c r="W32" t="s">
        <v>661</v>
      </c>
      <c r="X32" t="s">
        <v>662</v>
      </c>
      <c r="Y32" t="s">
        <v>663</v>
      </c>
      <c r="Z32" t="s">
        <v>664</v>
      </c>
      <c r="AA32" t="s">
        <v>74</v>
      </c>
      <c r="AB32" t="s">
        <v>74</v>
      </c>
      <c r="AC32" t="s">
        <v>74</v>
      </c>
      <c r="AD32" t="s">
        <v>74</v>
      </c>
      <c r="AE32" t="s">
        <v>74</v>
      </c>
      <c r="AF32" t="s">
        <v>74</v>
      </c>
      <c r="AG32">
        <v>40</v>
      </c>
      <c r="AH32">
        <v>69</v>
      </c>
      <c r="AI32">
        <v>83</v>
      </c>
      <c r="AJ32">
        <v>0</v>
      </c>
      <c r="AK32">
        <v>20</v>
      </c>
      <c r="AL32" t="s">
        <v>622</v>
      </c>
      <c r="AM32" t="s">
        <v>140</v>
      </c>
      <c r="AN32" t="s">
        <v>623</v>
      </c>
      <c r="AO32" t="s">
        <v>646</v>
      </c>
      <c r="AP32" t="s">
        <v>74</v>
      </c>
      <c r="AQ32" t="s">
        <v>74</v>
      </c>
      <c r="AR32" t="s">
        <v>647</v>
      </c>
      <c r="AS32" t="s">
        <v>648</v>
      </c>
      <c r="AT32" t="s">
        <v>74</v>
      </c>
      <c r="AU32">
        <v>2006</v>
      </c>
      <c r="AV32">
        <v>53</v>
      </c>
      <c r="AW32" t="s">
        <v>530</v>
      </c>
      <c r="AX32" t="s">
        <v>74</v>
      </c>
      <c r="AY32" t="s">
        <v>74</v>
      </c>
      <c r="AZ32" t="s">
        <v>74</v>
      </c>
      <c r="BA32" t="s">
        <v>74</v>
      </c>
      <c r="BB32">
        <v>432</v>
      </c>
      <c r="BC32">
        <v>441</v>
      </c>
      <c r="BD32" t="s">
        <v>74</v>
      </c>
      <c r="BE32" t="s">
        <v>665</v>
      </c>
      <c r="BF32" t="str">
        <f>HYPERLINK("http://dx.doi.org/10.1016/j.dsr2.2006.01.005","http://dx.doi.org/10.1016/j.dsr2.2006.01.005")</f>
        <v>http://dx.doi.org/10.1016/j.dsr2.2006.01.005</v>
      </c>
      <c r="BG32" t="s">
        <v>74</v>
      </c>
      <c r="BH32" t="s">
        <v>74</v>
      </c>
      <c r="BI32">
        <v>10</v>
      </c>
      <c r="BJ32" t="s">
        <v>629</v>
      </c>
      <c r="BK32" t="s">
        <v>356</v>
      </c>
      <c r="BL32" t="s">
        <v>629</v>
      </c>
      <c r="BM32" t="s">
        <v>666</v>
      </c>
      <c r="BN32" t="s">
        <v>74</v>
      </c>
      <c r="BO32" t="s">
        <v>74</v>
      </c>
      <c r="BP32" t="s">
        <v>74</v>
      </c>
      <c r="BQ32" t="s">
        <v>74</v>
      </c>
      <c r="BR32" t="s">
        <v>101</v>
      </c>
      <c r="BS32" t="s">
        <v>667</v>
      </c>
      <c r="BT32" t="str">
        <f>HYPERLINK("https%3A%2F%2Fwww.webofscience.com%2Fwos%2Fwoscc%2Ffull-record%2FWOS:000239201900013","View Full Record in Web of Science")</f>
        <v>View Full Record in Web of Science</v>
      </c>
    </row>
    <row r="33" spans="1:72" x14ac:dyDescent="0.15">
      <c r="A33" t="s">
        <v>72</v>
      </c>
      <c r="B33" t="s">
        <v>668</v>
      </c>
      <c r="C33" t="s">
        <v>74</v>
      </c>
      <c r="D33" t="s">
        <v>74</v>
      </c>
      <c r="E33" t="s">
        <v>74</v>
      </c>
      <c r="F33" t="s">
        <v>669</v>
      </c>
      <c r="G33" t="s">
        <v>74</v>
      </c>
      <c r="H33" t="s">
        <v>74</v>
      </c>
      <c r="I33" t="s">
        <v>670</v>
      </c>
      <c r="J33" t="s">
        <v>634</v>
      </c>
      <c r="K33" t="s">
        <v>74</v>
      </c>
      <c r="L33" t="s">
        <v>74</v>
      </c>
      <c r="M33" t="s">
        <v>77</v>
      </c>
      <c r="N33" t="s">
        <v>78</v>
      </c>
      <c r="O33" t="s">
        <v>74</v>
      </c>
      <c r="P33" t="s">
        <v>74</v>
      </c>
      <c r="Q33" t="s">
        <v>74</v>
      </c>
      <c r="R33" t="s">
        <v>74</v>
      </c>
      <c r="S33" t="s">
        <v>74</v>
      </c>
      <c r="T33" t="s">
        <v>671</v>
      </c>
      <c r="U33" t="s">
        <v>672</v>
      </c>
      <c r="V33" t="s">
        <v>673</v>
      </c>
      <c r="W33" t="s">
        <v>674</v>
      </c>
      <c r="X33" t="s">
        <v>675</v>
      </c>
      <c r="Y33" t="s">
        <v>676</v>
      </c>
      <c r="Z33" t="s">
        <v>677</v>
      </c>
      <c r="AA33" t="s">
        <v>678</v>
      </c>
      <c r="AB33" t="s">
        <v>679</v>
      </c>
      <c r="AC33" t="s">
        <v>74</v>
      </c>
      <c r="AD33" t="s">
        <v>74</v>
      </c>
      <c r="AE33" t="s">
        <v>74</v>
      </c>
      <c r="AF33" t="s">
        <v>74</v>
      </c>
      <c r="AG33">
        <v>66</v>
      </c>
      <c r="AH33">
        <v>25</v>
      </c>
      <c r="AI33">
        <v>30</v>
      </c>
      <c r="AJ33">
        <v>3</v>
      </c>
      <c r="AK33">
        <v>32</v>
      </c>
      <c r="AL33" t="s">
        <v>622</v>
      </c>
      <c r="AM33" t="s">
        <v>140</v>
      </c>
      <c r="AN33" t="s">
        <v>623</v>
      </c>
      <c r="AO33" t="s">
        <v>646</v>
      </c>
      <c r="AP33" t="s">
        <v>680</v>
      </c>
      <c r="AQ33" t="s">
        <v>74</v>
      </c>
      <c r="AR33" t="s">
        <v>647</v>
      </c>
      <c r="AS33" t="s">
        <v>648</v>
      </c>
      <c r="AT33" t="s">
        <v>74</v>
      </c>
      <c r="AU33">
        <v>2006</v>
      </c>
      <c r="AV33">
        <v>53</v>
      </c>
      <c r="AW33" t="s">
        <v>681</v>
      </c>
      <c r="AX33" t="s">
        <v>74</v>
      </c>
      <c r="AY33" t="s">
        <v>74</v>
      </c>
      <c r="AZ33" t="s">
        <v>74</v>
      </c>
      <c r="BA33" t="s">
        <v>74</v>
      </c>
      <c r="BB33">
        <v>532</v>
      </c>
      <c r="BC33">
        <v>554</v>
      </c>
      <c r="BD33" t="s">
        <v>74</v>
      </c>
      <c r="BE33" t="s">
        <v>682</v>
      </c>
      <c r="BF33" t="str">
        <f>HYPERLINK("http://dx.doi.org/10.1016/j.dsr2.2006.01.016","http://dx.doi.org/10.1016/j.dsr2.2006.01.016")</f>
        <v>http://dx.doi.org/10.1016/j.dsr2.2006.01.016</v>
      </c>
      <c r="BG33" t="s">
        <v>74</v>
      </c>
      <c r="BH33" t="s">
        <v>74</v>
      </c>
      <c r="BI33">
        <v>23</v>
      </c>
      <c r="BJ33" t="s">
        <v>629</v>
      </c>
      <c r="BK33" t="s">
        <v>98</v>
      </c>
      <c r="BL33" t="s">
        <v>629</v>
      </c>
      <c r="BM33" t="s">
        <v>683</v>
      </c>
      <c r="BN33" t="s">
        <v>74</v>
      </c>
      <c r="BO33" t="s">
        <v>74</v>
      </c>
      <c r="BP33" t="s">
        <v>74</v>
      </c>
      <c r="BQ33" t="s">
        <v>74</v>
      </c>
      <c r="BR33" t="s">
        <v>101</v>
      </c>
      <c r="BS33" t="s">
        <v>684</v>
      </c>
      <c r="BT33" t="str">
        <f>HYPERLINK("https%3A%2F%2Fwww.webofscience.com%2Fwos%2Fwoscc%2Ffull-record%2FWOS:000239285700004","View Full Record in Web of Science")</f>
        <v>View Full Record in Web of Science</v>
      </c>
    </row>
    <row r="34" spans="1:72" x14ac:dyDescent="0.15">
      <c r="A34" t="s">
        <v>72</v>
      </c>
      <c r="B34" t="s">
        <v>685</v>
      </c>
      <c r="C34" t="s">
        <v>74</v>
      </c>
      <c r="D34" t="s">
        <v>74</v>
      </c>
      <c r="E34" t="s">
        <v>74</v>
      </c>
      <c r="F34" t="s">
        <v>686</v>
      </c>
      <c r="G34" t="s">
        <v>74</v>
      </c>
      <c r="H34" t="s">
        <v>74</v>
      </c>
      <c r="I34" t="s">
        <v>687</v>
      </c>
      <c r="J34" t="s">
        <v>634</v>
      </c>
      <c r="K34" t="s">
        <v>74</v>
      </c>
      <c r="L34" t="s">
        <v>74</v>
      </c>
      <c r="M34" t="s">
        <v>77</v>
      </c>
      <c r="N34" t="s">
        <v>78</v>
      </c>
      <c r="O34" t="s">
        <v>74</v>
      </c>
      <c r="P34" t="s">
        <v>74</v>
      </c>
      <c r="Q34" t="s">
        <v>74</v>
      </c>
      <c r="R34" t="s">
        <v>74</v>
      </c>
      <c r="S34" t="s">
        <v>74</v>
      </c>
      <c r="T34" t="s">
        <v>688</v>
      </c>
      <c r="U34" t="s">
        <v>689</v>
      </c>
      <c r="V34" t="s">
        <v>690</v>
      </c>
      <c r="W34" t="s">
        <v>691</v>
      </c>
      <c r="X34" t="s">
        <v>692</v>
      </c>
      <c r="Y34" t="s">
        <v>693</v>
      </c>
      <c r="Z34" t="s">
        <v>694</v>
      </c>
      <c r="AA34" t="s">
        <v>695</v>
      </c>
      <c r="AB34" t="s">
        <v>696</v>
      </c>
      <c r="AC34" t="s">
        <v>74</v>
      </c>
      <c r="AD34" t="s">
        <v>74</v>
      </c>
      <c r="AE34" t="s">
        <v>74</v>
      </c>
      <c r="AF34" t="s">
        <v>74</v>
      </c>
      <c r="AG34">
        <v>68</v>
      </c>
      <c r="AH34">
        <v>27</v>
      </c>
      <c r="AI34">
        <v>29</v>
      </c>
      <c r="AJ34">
        <v>1</v>
      </c>
      <c r="AK34">
        <v>40</v>
      </c>
      <c r="AL34" t="s">
        <v>622</v>
      </c>
      <c r="AM34" t="s">
        <v>140</v>
      </c>
      <c r="AN34" t="s">
        <v>623</v>
      </c>
      <c r="AO34" t="s">
        <v>646</v>
      </c>
      <c r="AP34" t="s">
        <v>680</v>
      </c>
      <c r="AQ34" t="s">
        <v>74</v>
      </c>
      <c r="AR34" t="s">
        <v>647</v>
      </c>
      <c r="AS34" t="s">
        <v>648</v>
      </c>
      <c r="AT34" t="s">
        <v>74</v>
      </c>
      <c r="AU34">
        <v>2006</v>
      </c>
      <c r="AV34">
        <v>53</v>
      </c>
      <c r="AW34" t="s">
        <v>681</v>
      </c>
      <c r="AX34" t="s">
        <v>74</v>
      </c>
      <c r="AY34" t="s">
        <v>74</v>
      </c>
      <c r="AZ34" t="s">
        <v>74</v>
      </c>
      <c r="BA34" t="s">
        <v>74</v>
      </c>
      <c r="BB34">
        <v>601</v>
      </c>
      <c r="BC34">
        <v>619</v>
      </c>
      <c r="BD34" t="s">
        <v>74</v>
      </c>
      <c r="BE34" t="s">
        <v>697</v>
      </c>
      <c r="BF34" t="str">
        <f>HYPERLINK("http://dx.doi.org/10.1016/j.dsr2.2006.01.021","http://dx.doi.org/10.1016/j.dsr2.2006.01.021")</f>
        <v>http://dx.doi.org/10.1016/j.dsr2.2006.01.021</v>
      </c>
      <c r="BG34" t="s">
        <v>74</v>
      </c>
      <c r="BH34" t="s">
        <v>74</v>
      </c>
      <c r="BI34">
        <v>19</v>
      </c>
      <c r="BJ34" t="s">
        <v>629</v>
      </c>
      <c r="BK34" t="s">
        <v>98</v>
      </c>
      <c r="BL34" t="s">
        <v>629</v>
      </c>
      <c r="BM34" t="s">
        <v>683</v>
      </c>
      <c r="BN34" t="s">
        <v>74</v>
      </c>
      <c r="BO34" t="s">
        <v>74</v>
      </c>
      <c r="BP34" t="s">
        <v>74</v>
      </c>
      <c r="BQ34" t="s">
        <v>74</v>
      </c>
      <c r="BR34" t="s">
        <v>101</v>
      </c>
      <c r="BS34" t="s">
        <v>698</v>
      </c>
      <c r="BT34" t="str">
        <f>HYPERLINK("https%3A%2F%2Fwww.webofscience.com%2Fwos%2Fwoscc%2Ffull-record%2FWOS:000239285700007","View Full Record in Web of Science")</f>
        <v>View Full Record in Web of Science</v>
      </c>
    </row>
    <row r="35" spans="1:72" x14ac:dyDescent="0.15">
      <c r="A35" t="s">
        <v>72</v>
      </c>
      <c r="B35" t="s">
        <v>613</v>
      </c>
      <c r="C35" t="s">
        <v>74</v>
      </c>
      <c r="D35" t="s">
        <v>74</v>
      </c>
      <c r="E35" t="s">
        <v>74</v>
      </c>
      <c r="F35" t="s">
        <v>699</v>
      </c>
      <c r="G35" t="s">
        <v>74</v>
      </c>
      <c r="H35" t="s">
        <v>74</v>
      </c>
      <c r="I35" t="s">
        <v>700</v>
      </c>
      <c r="J35" t="s">
        <v>634</v>
      </c>
      <c r="K35" t="s">
        <v>74</v>
      </c>
      <c r="L35" t="s">
        <v>74</v>
      </c>
      <c r="M35" t="s">
        <v>77</v>
      </c>
      <c r="N35" t="s">
        <v>289</v>
      </c>
      <c r="O35" t="s">
        <v>74</v>
      </c>
      <c r="P35" t="s">
        <v>74</v>
      </c>
      <c r="Q35" t="s">
        <v>74</v>
      </c>
      <c r="R35" t="s">
        <v>74</v>
      </c>
      <c r="S35" t="s">
        <v>74</v>
      </c>
      <c r="T35" t="s">
        <v>701</v>
      </c>
      <c r="U35" t="s">
        <v>702</v>
      </c>
      <c r="V35" t="s">
        <v>703</v>
      </c>
      <c r="W35" t="s">
        <v>619</v>
      </c>
      <c r="X35" t="s">
        <v>620</v>
      </c>
      <c r="Y35" t="s">
        <v>704</v>
      </c>
      <c r="Z35" t="s">
        <v>705</v>
      </c>
      <c r="AA35" t="s">
        <v>74</v>
      </c>
      <c r="AB35" t="s">
        <v>74</v>
      </c>
      <c r="AC35" t="s">
        <v>74</v>
      </c>
      <c r="AD35" t="s">
        <v>74</v>
      </c>
      <c r="AE35" t="s">
        <v>74</v>
      </c>
      <c r="AF35" t="s">
        <v>74</v>
      </c>
      <c r="AG35">
        <v>134</v>
      </c>
      <c r="AH35">
        <v>25</v>
      </c>
      <c r="AI35">
        <v>30</v>
      </c>
      <c r="AJ35">
        <v>1</v>
      </c>
      <c r="AK35">
        <v>23</v>
      </c>
      <c r="AL35" t="s">
        <v>622</v>
      </c>
      <c r="AM35" t="s">
        <v>140</v>
      </c>
      <c r="AN35" t="s">
        <v>623</v>
      </c>
      <c r="AO35" t="s">
        <v>646</v>
      </c>
      <c r="AP35" t="s">
        <v>680</v>
      </c>
      <c r="AQ35" t="s">
        <v>74</v>
      </c>
      <c r="AR35" t="s">
        <v>647</v>
      </c>
      <c r="AS35" t="s">
        <v>648</v>
      </c>
      <c r="AT35" t="s">
        <v>74</v>
      </c>
      <c r="AU35">
        <v>2006</v>
      </c>
      <c r="AV35">
        <v>53</v>
      </c>
      <c r="AW35" t="s">
        <v>681</v>
      </c>
      <c r="AX35" t="s">
        <v>74</v>
      </c>
      <c r="AY35" t="s">
        <v>74</v>
      </c>
      <c r="AZ35" t="s">
        <v>74</v>
      </c>
      <c r="BA35" t="s">
        <v>74</v>
      </c>
      <c r="BB35">
        <v>620</v>
      </c>
      <c r="BC35">
        <v>643</v>
      </c>
      <c r="BD35" t="s">
        <v>74</v>
      </c>
      <c r="BE35" t="s">
        <v>706</v>
      </c>
      <c r="BF35" t="str">
        <f>HYPERLINK("http://dx.doi.org/10.1016/j.dsr2.2006.01.022","http://dx.doi.org/10.1016/j.dsr2.2006.01.022")</f>
        <v>http://dx.doi.org/10.1016/j.dsr2.2006.01.022</v>
      </c>
      <c r="BG35" t="s">
        <v>74</v>
      </c>
      <c r="BH35" t="s">
        <v>74</v>
      </c>
      <c r="BI35">
        <v>24</v>
      </c>
      <c r="BJ35" t="s">
        <v>629</v>
      </c>
      <c r="BK35" t="s">
        <v>98</v>
      </c>
      <c r="BL35" t="s">
        <v>629</v>
      </c>
      <c r="BM35" t="s">
        <v>683</v>
      </c>
      <c r="BN35" t="s">
        <v>74</v>
      </c>
      <c r="BO35" t="s">
        <v>74</v>
      </c>
      <c r="BP35" t="s">
        <v>74</v>
      </c>
      <c r="BQ35" t="s">
        <v>74</v>
      </c>
      <c r="BR35" t="s">
        <v>101</v>
      </c>
      <c r="BS35" t="s">
        <v>707</v>
      </c>
      <c r="BT35" t="str">
        <f>HYPERLINK("https%3A%2F%2Fwww.webofscience.com%2Fwos%2Fwoscc%2Ffull-record%2FWOS:000239285700008","View Full Record in Web of Science")</f>
        <v>View Full Record in Web of Science</v>
      </c>
    </row>
    <row r="36" spans="1:72" x14ac:dyDescent="0.15">
      <c r="A36" t="s">
        <v>72</v>
      </c>
      <c r="B36" t="s">
        <v>708</v>
      </c>
      <c r="C36" t="s">
        <v>74</v>
      </c>
      <c r="D36" t="s">
        <v>74</v>
      </c>
      <c r="E36" t="s">
        <v>74</v>
      </c>
      <c r="F36" t="s">
        <v>709</v>
      </c>
      <c r="G36" t="s">
        <v>74</v>
      </c>
      <c r="H36" t="s">
        <v>74</v>
      </c>
      <c r="I36" t="s">
        <v>710</v>
      </c>
      <c r="J36" t="s">
        <v>634</v>
      </c>
      <c r="K36" t="s">
        <v>74</v>
      </c>
      <c r="L36" t="s">
        <v>74</v>
      </c>
      <c r="M36" t="s">
        <v>77</v>
      </c>
      <c r="N36" t="s">
        <v>78</v>
      </c>
      <c r="O36" t="s">
        <v>74</v>
      </c>
      <c r="P36" t="s">
        <v>74</v>
      </c>
      <c r="Q36" t="s">
        <v>74</v>
      </c>
      <c r="R36" t="s">
        <v>74</v>
      </c>
      <c r="S36" t="s">
        <v>74</v>
      </c>
      <c r="T36" t="s">
        <v>74</v>
      </c>
      <c r="U36" t="s">
        <v>711</v>
      </c>
      <c r="V36" t="s">
        <v>712</v>
      </c>
      <c r="W36" t="s">
        <v>713</v>
      </c>
      <c r="X36" t="s">
        <v>714</v>
      </c>
      <c r="Y36" t="s">
        <v>715</v>
      </c>
      <c r="Z36" t="s">
        <v>716</v>
      </c>
      <c r="AA36" t="s">
        <v>717</v>
      </c>
      <c r="AB36" t="s">
        <v>718</v>
      </c>
      <c r="AC36" t="s">
        <v>719</v>
      </c>
      <c r="AD36" t="s">
        <v>720</v>
      </c>
      <c r="AE36" t="s">
        <v>74</v>
      </c>
      <c r="AF36" t="s">
        <v>74</v>
      </c>
      <c r="AG36">
        <v>54</v>
      </c>
      <c r="AH36">
        <v>502</v>
      </c>
      <c r="AI36">
        <v>565</v>
      </c>
      <c r="AJ36">
        <v>4</v>
      </c>
      <c r="AK36">
        <v>203</v>
      </c>
      <c r="AL36" t="s">
        <v>622</v>
      </c>
      <c r="AM36" t="s">
        <v>140</v>
      </c>
      <c r="AN36" t="s">
        <v>623</v>
      </c>
      <c r="AO36" t="s">
        <v>646</v>
      </c>
      <c r="AP36" t="s">
        <v>680</v>
      </c>
      <c r="AQ36" t="s">
        <v>74</v>
      </c>
      <c r="AR36" t="s">
        <v>647</v>
      </c>
      <c r="AS36" t="s">
        <v>648</v>
      </c>
      <c r="AT36" t="s">
        <v>74</v>
      </c>
      <c r="AU36">
        <v>2006</v>
      </c>
      <c r="AV36">
        <v>53</v>
      </c>
      <c r="AW36" t="s">
        <v>681</v>
      </c>
      <c r="AX36" t="s">
        <v>74</v>
      </c>
      <c r="AY36" t="s">
        <v>74</v>
      </c>
      <c r="AZ36" t="s">
        <v>74</v>
      </c>
      <c r="BA36" t="s">
        <v>74</v>
      </c>
      <c r="BB36">
        <v>741</v>
      </c>
      <c r="BC36">
        <v>770</v>
      </c>
      <c r="BD36" t="s">
        <v>74</v>
      </c>
      <c r="BE36" t="s">
        <v>721</v>
      </c>
      <c r="BF36" t="str">
        <f>HYPERLINK("http://dx.doi.org/10.1016/j.dsr2.2006.01.028","http://dx.doi.org/10.1016/j.dsr2.2006.01.028")</f>
        <v>http://dx.doi.org/10.1016/j.dsr2.2006.01.028</v>
      </c>
      <c r="BG36" t="s">
        <v>74</v>
      </c>
      <c r="BH36" t="s">
        <v>74</v>
      </c>
      <c r="BI36">
        <v>30</v>
      </c>
      <c r="BJ36" t="s">
        <v>629</v>
      </c>
      <c r="BK36" t="s">
        <v>98</v>
      </c>
      <c r="BL36" t="s">
        <v>629</v>
      </c>
      <c r="BM36" t="s">
        <v>683</v>
      </c>
      <c r="BN36" t="s">
        <v>74</v>
      </c>
      <c r="BO36" t="s">
        <v>722</v>
      </c>
      <c r="BP36" t="s">
        <v>74</v>
      </c>
      <c r="BQ36" t="s">
        <v>74</v>
      </c>
      <c r="BR36" t="s">
        <v>101</v>
      </c>
      <c r="BS36" t="s">
        <v>723</v>
      </c>
      <c r="BT36" t="str">
        <f>HYPERLINK("https%3A%2F%2Fwww.webofscience.com%2Fwos%2Fwoscc%2Ffull-record%2FWOS:000239285700013","View Full Record in Web of Science")</f>
        <v>View Full Record in Web of Science</v>
      </c>
    </row>
    <row r="37" spans="1:72" x14ac:dyDescent="0.15">
      <c r="A37" t="s">
        <v>72</v>
      </c>
      <c r="B37" t="s">
        <v>724</v>
      </c>
      <c r="C37" t="s">
        <v>74</v>
      </c>
      <c r="D37" t="s">
        <v>74</v>
      </c>
      <c r="E37" t="s">
        <v>74</v>
      </c>
      <c r="F37" t="s">
        <v>725</v>
      </c>
      <c r="G37" t="s">
        <v>74</v>
      </c>
      <c r="H37" t="s">
        <v>74</v>
      </c>
      <c r="I37" t="s">
        <v>726</v>
      </c>
      <c r="J37" t="s">
        <v>634</v>
      </c>
      <c r="K37" t="s">
        <v>74</v>
      </c>
      <c r="L37" t="s">
        <v>74</v>
      </c>
      <c r="M37" t="s">
        <v>77</v>
      </c>
      <c r="N37" t="s">
        <v>78</v>
      </c>
      <c r="O37" t="s">
        <v>74</v>
      </c>
      <c r="P37" t="s">
        <v>74</v>
      </c>
      <c r="Q37" t="s">
        <v>74</v>
      </c>
      <c r="R37" t="s">
        <v>74</v>
      </c>
      <c r="S37" t="s">
        <v>74</v>
      </c>
      <c r="T37" t="s">
        <v>727</v>
      </c>
      <c r="U37" t="s">
        <v>728</v>
      </c>
      <c r="V37" t="s">
        <v>729</v>
      </c>
      <c r="W37" t="s">
        <v>730</v>
      </c>
      <c r="X37" t="s">
        <v>731</v>
      </c>
      <c r="Y37" t="s">
        <v>732</v>
      </c>
      <c r="Z37" t="s">
        <v>733</v>
      </c>
      <c r="AA37" t="s">
        <v>74</v>
      </c>
      <c r="AB37" t="s">
        <v>74</v>
      </c>
      <c r="AC37" t="s">
        <v>734</v>
      </c>
      <c r="AD37" t="s">
        <v>735</v>
      </c>
      <c r="AE37" t="s">
        <v>74</v>
      </c>
      <c r="AF37" t="s">
        <v>74</v>
      </c>
      <c r="AG37">
        <v>76</v>
      </c>
      <c r="AH37">
        <v>15</v>
      </c>
      <c r="AI37">
        <v>17</v>
      </c>
      <c r="AJ37">
        <v>1</v>
      </c>
      <c r="AK37">
        <v>10</v>
      </c>
      <c r="AL37" t="s">
        <v>622</v>
      </c>
      <c r="AM37" t="s">
        <v>140</v>
      </c>
      <c r="AN37" t="s">
        <v>623</v>
      </c>
      <c r="AO37" t="s">
        <v>646</v>
      </c>
      <c r="AP37" t="s">
        <v>680</v>
      </c>
      <c r="AQ37" t="s">
        <v>74</v>
      </c>
      <c r="AR37" t="s">
        <v>647</v>
      </c>
      <c r="AS37" t="s">
        <v>648</v>
      </c>
      <c r="AT37" t="s">
        <v>74</v>
      </c>
      <c r="AU37">
        <v>2006</v>
      </c>
      <c r="AV37">
        <v>53</v>
      </c>
      <c r="AW37" t="s">
        <v>736</v>
      </c>
      <c r="AX37" t="s">
        <v>74</v>
      </c>
      <c r="AY37" t="s">
        <v>74</v>
      </c>
      <c r="AZ37" t="s">
        <v>74</v>
      </c>
      <c r="BA37" t="s">
        <v>74</v>
      </c>
      <c r="BB37">
        <v>803</v>
      </c>
      <c r="BC37">
        <v>814</v>
      </c>
      <c r="BD37" t="s">
        <v>74</v>
      </c>
      <c r="BE37" t="s">
        <v>737</v>
      </c>
      <c r="BF37" t="str">
        <f>HYPERLINK("http://dx.doi.org/10.1016/j.dsr2.2006.05.001","http://dx.doi.org/10.1016/j.dsr2.2006.05.001")</f>
        <v>http://dx.doi.org/10.1016/j.dsr2.2006.05.001</v>
      </c>
      <c r="BG37" t="s">
        <v>74</v>
      </c>
      <c r="BH37" t="s">
        <v>74</v>
      </c>
      <c r="BI37">
        <v>12</v>
      </c>
      <c r="BJ37" t="s">
        <v>629</v>
      </c>
      <c r="BK37" t="s">
        <v>98</v>
      </c>
      <c r="BL37" t="s">
        <v>629</v>
      </c>
      <c r="BM37" t="s">
        <v>738</v>
      </c>
      <c r="BN37" t="s">
        <v>74</v>
      </c>
      <c r="BO37" t="s">
        <v>74</v>
      </c>
      <c r="BP37" t="s">
        <v>74</v>
      </c>
      <c r="BQ37" t="s">
        <v>74</v>
      </c>
      <c r="BR37" t="s">
        <v>101</v>
      </c>
      <c r="BS37" t="s">
        <v>739</v>
      </c>
      <c r="BT37" t="str">
        <f>HYPERLINK("https%3A%2F%2Fwww.webofscience.com%2Fwos%2Fwoscc%2Ffull-record%2FWOS:000240614400001","View Full Record in Web of Science")</f>
        <v>View Full Record in Web of Science</v>
      </c>
    </row>
    <row r="38" spans="1:72" x14ac:dyDescent="0.15">
      <c r="A38" t="s">
        <v>72</v>
      </c>
      <c r="B38" t="s">
        <v>740</v>
      </c>
      <c r="C38" t="s">
        <v>74</v>
      </c>
      <c r="D38" t="s">
        <v>74</v>
      </c>
      <c r="E38" t="s">
        <v>74</v>
      </c>
      <c r="F38" t="s">
        <v>741</v>
      </c>
      <c r="G38" t="s">
        <v>74</v>
      </c>
      <c r="H38" t="s">
        <v>74</v>
      </c>
      <c r="I38" t="s">
        <v>742</v>
      </c>
      <c r="J38" t="s">
        <v>634</v>
      </c>
      <c r="K38" t="s">
        <v>74</v>
      </c>
      <c r="L38" t="s">
        <v>74</v>
      </c>
      <c r="M38" t="s">
        <v>77</v>
      </c>
      <c r="N38" t="s">
        <v>78</v>
      </c>
      <c r="O38" t="s">
        <v>74</v>
      </c>
      <c r="P38" t="s">
        <v>74</v>
      </c>
      <c r="Q38" t="s">
        <v>74</v>
      </c>
      <c r="R38" t="s">
        <v>74</v>
      </c>
      <c r="S38" t="s">
        <v>74</v>
      </c>
      <c r="T38" t="s">
        <v>743</v>
      </c>
      <c r="U38" t="s">
        <v>744</v>
      </c>
      <c r="V38" t="s">
        <v>745</v>
      </c>
      <c r="W38" t="s">
        <v>746</v>
      </c>
      <c r="X38" t="s">
        <v>747</v>
      </c>
      <c r="Y38" t="s">
        <v>748</v>
      </c>
      <c r="Z38" t="s">
        <v>677</v>
      </c>
      <c r="AA38" t="s">
        <v>749</v>
      </c>
      <c r="AB38" t="s">
        <v>750</v>
      </c>
      <c r="AC38" t="s">
        <v>74</v>
      </c>
      <c r="AD38" t="s">
        <v>74</v>
      </c>
      <c r="AE38" t="s">
        <v>74</v>
      </c>
      <c r="AF38" t="s">
        <v>74</v>
      </c>
      <c r="AG38">
        <v>53</v>
      </c>
      <c r="AH38">
        <v>76</v>
      </c>
      <c r="AI38">
        <v>86</v>
      </c>
      <c r="AJ38">
        <v>0</v>
      </c>
      <c r="AK38">
        <v>33</v>
      </c>
      <c r="AL38" t="s">
        <v>622</v>
      </c>
      <c r="AM38" t="s">
        <v>140</v>
      </c>
      <c r="AN38" t="s">
        <v>623</v>
      </c>
      <c r="AO38" t="s">
        <v>646</v>
      </c>
      <c r="AP38" t="s">
        <v>74</v>
      </c>
      <c r="AQ38" t="s">
        <v>74</v>
      </c>
      <c r="AR38" t="s">
        <v>647</v>
      </c>
      <c r="AS38" t="s">
        <v>648</v>
      </c>
      <c r="AT38" t="s">
        <v>74</v>
      </c>
      <c r="AU38">
        <v>2006</v>
      </c>
      <c r="AV38">
        <v>53</v>
      </c>
      <c r="AW38" t="s">
        <v>736</v>
      </c>
      <c r="AX38" t="s">
        <v>74</v>
      </c>
      <c r="AY38" t="s">
        <v>74</v>
      </c>
      <c r="AZ38" t="s">
        <v>74</v>
      </c>
      <c r="BA38" t="s">
        <v>74</v>
      </c>
      <c r="BB38">
        <v>834</v>
      </c>
      <c r="BC38">
        <v>852</v>
      </c>
      <c r="BD38" t="s">
        <v>74</v>
      </c>
      <c r="BE38" t="s">
        <v>751</v>
      </c>
      <c r="BF38" t="str">
        <f>HYPERLINK("http://dx.doi.org/10.1016/j.dsr2.2006.02.009","http://dx.doi.org/10.1016/j.dsr2.2006.02.009")</f>
        <v>http://dx.doi.org/10.1016/j.dsr2.2006.02.009</v>
      </c>
      <c r="BG38" t="s">
        <v>74</v>
      </c>
      <c r="BH38" t="s">
        <v>74</v>
      </c>
      <c r="BI38">
        <v>19</v>
      </c>
      <c r="BJ38" t="s">
        <v>629</v>
      </c>
      <c r="BK38" t="s">
        <v>98</v>
      </c>
      <c r="BL38" t="s">
        <v>629</v>
      </c>
      <c r="BM38" t="s">
        <v>738</v>
      </c>
      <c r="BN38" t="s">
        <v>74</v>
      </c>
      <c r="BO38" t="s">
        <v>74</v>
      </c>
      <c r="BP38" t="s">
        <v>74</v>
      </c>
      <c r="BQ38" t="s">
        <v>74</v>
      </c>
      <c r="BR38" t="s">
        <v>101</v>
      </c>
      <c r="BS38" t="s">
        <v>752</v>
      </c>
      <c r="BT38" t="str">
        <f>HYPERLINK("https%3A%2F%2Fwww.webofscience.com%2Fwos%2Fwoscc%2Ffull-record%2FWOS:000240614400003","View Full Record in Web of Science")</f>
        <v>View Full Record in Web of Science</v>
      </c>
    </row>
    <row r="39" spans="1:72" x14ac:dyDescent="0.15">
      <c r="A39" t="s">
        <v>72</v>
      </c>
      <c r="B39" t="s">
        <v>753</v>
      </c>
      <c r="C39" t="s">
        <v>74</v>
      </c>
      <c r="D39" t="s">
        <v>74</v>
      </c>
      <c r="E39" t="s">
        <v>74</v>
      </c>
      <c r="F39" t="s">
        <v>754</v>
      </c>
      <c r="G39" t="s">
        <v>74</v>
      </c>
      <c r="H39" t="s">
        <v>74</v>
      </c>
      <c r="I39" t="s">
        <v>755</v>
      </c>
      <c r="J39" t="s">
        <v>634</v>
      </c>
      <c r="K39" t="s">
        <v>74</v>
      </c>
      <c r="L39" t="s">
        <v>74</v>
      </c>
      <c r="M39" t="s">
        <v>77</v>
      </c>
      <c r="N39" t="s">
        <v>78</v>
      </c>
      <c r="O39" t="s">
        <v>74</v>
      </c>
      <c r="P39" t="s">
        <v>74</v>
      </c>
      <c r="Q39" t="s">
        <v>74</v>
      </c>
      <c r="R39" t="s">
        <v>74</v>
      </c>
      <c r="S39" t="s">
        <v>74</v>
      </c>
      <c r="T39" t="s">
        <v>756</v>
      </c>
      <c r="U39" t="s">
        <v>757</v>
      </c>
      <c r="V39" t="s">
        <v>758</v>
      </c>
      <c r="W39" t="s">
        <v>759</v>
      </c>
      <c r="X39" t="s">
        <v>760</v>
      </c>
      <c r="Y39" t="s">
        <v>761</v>
      </c>
      <c r="Z39" t="s">
        <v>74</v>
      </c>
      <c r="AA39" t="s">
        <v>762</v>
      </c>
      <c r="AB39" t="s">
        <v>763</v>
      </c>
      <c r="AC39" t="s">
        <v>764</v>
      </c>
      <c r="AD39" t="s">
        <v>735</v>
      </c>
      <c r="AE39" t="s">
        <v>74</v>
      </c>
      <c r="AF39" t="s">
        <v>74</v>
      </c>
      <c r="AG39">
        <v>52</v>
      </c>
      <c r="AH39">
        <v>75</v>
      </c>
      <c r="AI39">
        <v>85</v>
      </c>
      <c r="AJ39">
        <v>0</v>
      </c>
      <c r="AK39">
        <v>18</v>
      </c>
      <c r="AL39" t="s">
        <v>622</v>
      </c>
      <c r="AM39" t="s">
        <v>140</v>
      </c>
      <c r="AN39" t="s">
        <v>623</v>
      </c>
      <c r="AO39" t="s">
        <v>646</v>
      </c>
      <c r="AP39" t="s">
        <v>680</v>
      </c>
      <c r="AQ39" t="s">
        <v>74</v>
      </c>
      <c r="AR39" t="s">
        <v>647</v>
      </c>
      <c r="AS39" t="s">
        <v>648</v>
      </c>
      <c r="AT39" t="s">
        <v>74</v>
      </c>
      <c r="AU39">
        <v>2006</v>
      </c>
      <c r="AV39">
        <v>53</v>
      </c>
      <c r="AW39" t="s">
        <v>736</v>
      </c>
      <c r="AX39" t="s">
        <v>74</v>
      </c>
      <c r="AY39" t="s">
        <v>74</v>
      </c>
      <c r="AZ39" t="s">
        <v>74</v>
      </c>
      <c r="BA39" t="s">
        <v>74</v>
      </c>
      <c r="BB39">
        <v>853</v>
      </c>
      <c r="BC39">
        <v>865</v>
      </c>
      <c r="BD39" t="s">
        <v>74</v>
      </c>
      <c r="BE39" t="s">
        <v>765</v>
      </c>
      <c r="BF39" t="str">
        <f>HYPERLINK("http://dx.doi.org/10.1016/j.dsr2.2006.03.008","http://dx.doi.org/10.1016/j.dsr2.2006.03.008")</f>
        <v>http://dx.doi.org/10.1016/j.dsr2.2006.03.008</v>
      </c>
      <c r="BG39" t="s">
        <v>74</v>
      </c>
      <c r="BH39" t="s">
        <v>74</v>
      </c>
      <c r="BI39">
        <v>13</v>
      </c>
      <c r="BJ39" t="s">
        <v>629</v>
      </c>
      <c r="BK39" t="s">
        <v>98</v>
      </c>
      <c r="BL39" t="s">
        <v>629</v>
      </c>
      <c r="BM39" t="s">
        <v>738</v>
      </c>
      <c r="BN39" t="s">
        <v>74</v>
      </c>
      <c r="BO39" t="s">
        <v>74</v>
      </c>
      <c r="BP39" t="s">
        <v>74</v>
      </c>
      <c r="BQ39" t="s">
        <v>74</v>
      </c>
      <c r="BR39" t="s">
        <v>101</v>
      </c>
      <c r="BS39" t="s">
        <v>766</v>
      </c>
      <c r="BT39" t="str">
        <f>HYPERLINK("https%3A%2F%2Fwww.webofscience.com%2Fwos%2Fwoscc%2Ffull-record%2FWOS:000240614400004","View Full Record in Web of Science")</f>
        <v>View Full Record in Web of Science</v>
      </c>
    </row>
    <row r="40" spans="1:72" x14ac:dyDescent="0.15">
      <c r="A40" t="s">
        <v>72</v>
      </c>
      <c r="B40" t="s">
        <v>767</v>
      </c>
      <c r="C40" t="s">
        <v>74</v>
      </c>
      <c r="D40" t="s">
        <v>74</v>
      </c>
      <c r="E40" t="s">
        <v>74</v>
      </c>
      <c r="F40" t="s">
        <v>768</v>
      </c>
      <c r="G40" t="s">
        <v>74</v>
      </c>
      <c r="H40" t="s">
        <v>74</v>
      </c>
      <c r="I40" t="s">
        <v>769</v>
      </c>
      <c r="J40" t="s">
        <v>634</v>
      </c>
      <c r="K40" t="s">
        <v>74</v>
      </c>
      <c r="L40" t="s">
        <v>74</v>
      </c>
      <c r="M40" t="s">
        <v>77</v>
      </c>
      <c r="N40" t="s">
        <v>78</v>
      </c>
      <c r="O40" t="s">
        <v>74</v>
      </c>
      <c r="P40" t="s">
        <v>74</v>
      </c>
      <c r="Q40" t="s">
        <v>74</v>
      </c>
      <c r="R40" t="s">
        <v>74</v>
      </c>
      <c r="S40" t="s">
        <v>74</v>
      </c>
      <c r="T40" t="s">
        <v>770</v>
      </c>
      <c r="U40" t="s">
        <v>771</v>
      </c>
      <c r="V40" t="s">
        <v>772</v>
      </c>
      <c r="W40" t="s">
        <v>773</v>
      </c>
      <c r="X40" t="s">
        <v>774</v>
      </c>
      <c r="Y40" t="s">
        <v>775</v>
      </c>
      <c r="Z40" t="s">
        <v>776</v>
      </c>
      <c r="AA40" t="s">
        <v>777</v>
      </c>
      <c r="AB40" t="s">
        <v>778</v>
      </c>
      <c r="AC40" t="s">
        <v>74</v>
      </c>
      <c r="AD40" t="s">
        <v>74</v>
      </c>
      <c r="AE40" t="s">
        <v>74</v>
      </c>
      <c r="AF40" t="s">
        <v>74</v>
      </c>
      <c r="AG40">
        <v>88</v>
      </c>
      <c r="AH40">
        <v>149</v>
      </c>
      <c r="AI40">
        <v>162</v>
      </c>
      <c r="AJ40">
        <v>0</v>
      </c>
      <c r="AK40">
        <v>45</v>
      </c>
      <c r="AL40" t="s">
        <v>622</v>
      </c>
      <c r="AM40" t="s">
        <v>140</v>
      </c>
      <c r="AN40" t="s">
        <v>623</v>
      </c>
      <c r="AO40" t="s">
        <v>646</v>
      </c>
      <c r="AP40" t="s">
        <v>680</v>
      </c>
      <c r="AQ40" t="s">
        <v>74</v>
      </c>
      <c r="AR40" t="s">
        <v>647</v>
      </c>
      <c r="AS40" t="s">
        <v>648</v>
      </c>
      <c r="AT40" t="s">
        <v>74</v>
      </c>
      <c r="AU40">
        <v>2006</v>
      </c>
      <c r="AV40">
        <v>53</v>
      </c>
      <c r="AW40" t="s">
        <v>736</v>
      </c>
      <c r="AX40" t="s">
        <v>74</v>
      </c>
      <c r="AY40" t="s">
        <v>74</v>
      </c>
      <c r="AZ40" t="s">
        <v>74</v>
      </c>
      <c r="BA40" t="s">
        <v>74</v>
      </c>
      <c r="BB40">
        <v>875</v>
      </c>
      <c r="BC40">
        <v>894</v>
      </c>
      <c r="BD40" t="s">
        <v>74</v>
      </c>
      <c r="BE40" t="s">
        <v>779</v>
      </c>
      <c r="BF40" t="str">
        <f>HYPERLINK("http://dx.doi.org/10.1016/j.dsr2.2006.02.001","http://dx.doi.org/10.1016/j.dsr2.2006.02.001")</f>
        <v>http://dx.doi.org/10.1016/j.dsr2.2006.02.001</v>
      </c>
      <c r="BG40" t="s">
        <v>74</v>
      </c>
      <c r="BH40" t="s">
        <v>74</v>
      </c>
      <c r="BI40">
        <v>20</v>
      </c>
      <c r="BJ40" t="s">
        <v>629</v>
      </c>
      <c r="BK40" t="s">
        <v>98</v>
      </c>
      <c r="BL40" t="s">
        <v>629</v>
      </c>
      <c r="BM40" t="s">
        <v>738</v>
      </c>
      <c r="BN40" t="s">
        <v>74</v>
      </c>
      <c r="BO40" t="s">
        <v>74</v>
      </c>
      <c r="BP40" t="s">
        <v>74</v>
      </c>
      <c r="BQ40" t="s">
        <v>74</v>
      </c>
      <c r="BR40" t="s">
        <v>101</v>
      </c>
      <c r="BS40" t="s">
        <v>780</v>
      </c>
      <c r="BT40" t="str">
        <f>HYPERLINK("https%3A%2F%2Fwww.webofscience.com%2Fwos%2Fwoscc%2Ffull-record%2FWOS:000240614400006","View Full Record in Web of Science")</f>
        <v>View Full Record in Web of Science</v>
      </c>
    </row>
    <row r="41" spans="1:72" x14ac:dyDescent="0.15">
      <c r="A41" t="s">
        <v>72</v>
      </c>
      <c r="B41" t="s">
        <v>781</v>
      </c>
      <c r="C41" t="s">
        <v>74</v>
      </c>
      <c r="D41" t="s">
        <v>74</v>
      </c>
      <c r="E41" t="s">
        <v>74</v>
      </c>
      <c r="F41" t="s">
        <v>782</v>
      </c>
      <c r="G41" t="s">
        <v>74</v>
      </c>
      <c r="H41" t="s">
        <v>74</v>
      </c>
      <c r="I41" t="s">
        <v>783</v>
      </c>
      <c r="J41" t="s">
        <v>634</v>
      </c>
      <c r="K41" t="s">
        <v>74</v>
      </c>
      <c r="L41" t="s">
        <v>74</v>
      </c>
      <c r="M41" t="s">
        <v>77</v>
      </c>
      <c r="N41" t="s">
        <v>78</v>
      </c>
      <c r="O41" t="s">
        <v>74</v>
      </c>
      <c r="P41" t="s">
        <v>74</v>
      </c>
      <c r="Q41" t="s">
        <v>74</v>
      </c>
      <c r="R41" t="s">
        <v>74</v>
      </c>
      <c r="S41" t="s">
        <v>74</v>
      </c>
      <c r="T41" t="s">
        <v>784</v>
      </c>
      <c r="U41" t="s">
        <v>785</v>
      </c>
      <c r="V41" t="s">
        <v>786</v>
      </c>
      <c r="W41" t="s">
        <v>787</v>
      </c>
      <c r="X41" t="s">
        <v>788</v>
      </c>
      <c r="Y41" t="s">
        <v>789</v>
      </c>
      <c r="Z41" t="s">
        <v>790</v>
      </c>
      <c r="AA41" t="s">
        <v>74</v>
      </c>
      <c r="AB41" t="s">
        <v>791</v>
      </c>
      <c r="AC41" t="s">
        <v>792</v>
      </c>
      <c r="AD41" t="s">
        <v>720</v>
      </c>
      <c r="AE41" t="s">
        <v>74</v>
      </c>
      <c r="AF41" t="s">
        <v>74</v>
      </c>
      <c r="AG41">
        <v>56</v>
      </c>
      <c r="AH41">
        <v>29</v>
      </c>
      <c r="AI41">
        <v>31</v>
      </c>
      <c r="AJ41">
        <v>0</v>
      </c>
      <c r="AK41">
        <v>11</v>
      </c>
      <c r="AL41" t="s">
        <v>622</v>
      </c>
      <c r="AM41" t="s">
        <v>140</v>
      </c>
      <c r="AN41" t="s">
        <v>623</v>
      </c>
      <c r="AO41" t="s">
        <v>646</v>
      </c>
      <c r="AP41" t="s">
        <v>74</v>
      </c>
      <c r="AQ41" t="s">
        <v>74</v>
      </c>
      <c r="AR41" t="s">
        <v>647</v>
      </c>
      <c r="AS41" t="s">
        <v>648</v>
      </c>
      <c r="AT41" t="s">
        <v>74</v>
      </c>
      <c r="AU41">
        <v>2006</v>
      </c>
      <c r="AV41">
        <v>53</v>
      </c>
      <c r="AW41" t="s">
        <v>736</v>
      </c>
      <c r="AX41" t="s">
        <v>74</v>
      </c>
      <c r="AY41" t="s">
        <v>74</v>
      </c>
      <c r="AZ41" t="s">
        <v>74</v>
      </c>
      <c r="BA41" t="s">
        <v>74</v>
      </c>
      <c r="BB41">
        <v>895</v>
      </c>
      <c r="BC41">
        <v>902</v>
      </c>
      <c r="BD41" t="s">
        <v>74</v>
      </c>
      <c r="BE41" t="s">
        <v>793</v>
      </c>
      <c r="BF41" t="str">
        <f>HYPERLINK("http://dx.doi.org/10.1016/j.dsr2.2006.02.002","http://dx.doi.org/10.1016/j.dsr2.2006.02.002")</f>
        <v>http://dx.doi.org/10.1016/j.dsr2.2006.02.002</v>
      </c>
      <c r="BG41" t="s">
        <v>74</v>
      </c>
      <c r="BH41" t="s">
        <v>74</v>
      </c>
      <c r="BI41">
        <v>8</v>
      </c>
      <c r="BJ41" t="s">
        <v>629</v>
      </c>
      <c r="BK41" t="s">
        <v>98</v>
      </c>
      <c r="BL41" t="s">
        <v>629</v>
      </c>
      <c r="BM41" t="s">
        <v>738</v>
      </c>
      <c r="BN41" t="s">
        <v>74</v>
      </c>
      <c r="BO41" t="s">
        <v>74</v>
      </c>
      <c r="BP41" t="s">
        <v>74</v>
      </c>
      <c r="BQ41" t="s">
        <v>74</v>
      </c>
      <c r="BR41" t="s">
        <v>101</v>
      </c>
      <c r="BS41" t="s">
        <v>794</v>
      </c>
      <c r="BT41" t="str">
        <f>HYPERLINK("https%3A%2F%2Fwww.webofscience.com%2Fwos%2Fwoscc%2Ffull-record%2FWOS:000240614400007","View Full Record in Web of Science")</f>
        <v>View Full Record in Web of Science</v>
      </c>
    </row>
    <row r="42" spans="1:72" x14ac:dyDescent="0.15">
      <c r="A42" t="s">
        <v>72</v>
      </c>
      <c r="B42" t="s">
        <v>795</v>
      </c>
      <c r="C42" t="s">
        <v>74</v>
      </c>
      <c r="D42" t="s">
        <v>74</v>
      </c>
      <c r="E42" t="s">
        <v>74</v>
      </c>
      <c r="F42" t="s">
        <v>796</v>
      </c>
      <c r="G42" t="s">
        <v>74</v>
      </c>
      <c r="H42" t="s">
        <v>74</v>
      </c>
      <c r="I42" t="s">
        <v>797</v>
      </c>
      <c r="J42" t="s">
        <v>634</v>
      </c>
      <c r="K42" t="s">
        <v>74</v>
      </c>
      <c r="L42" t="s">
        <v>74</v>
      </c>
      <c r="M42" t="s">
        <v>77</v>
      </c>
      <c r="N42" t="s">
        <v>78</v>
      </c>
      <c r="O42" t="s">
        <v>74</v>
      </c>
      <c r="P42" t="s">
        <v>74</v>
      </c>
      <c r="Q42" t="s">
        <v>74</v>
      </c>
      <c r="R42" t="s">
        <v>74</v>
      </c>
      <c r="S42" t="s">
        <v>74</v>
      </c>
      <c r="T42" t="s">
        <v>798</v>
      </c>
      <c r="U42" t="s">
        <v>799</v>
      </c>
      <c r="V42" t="s">
        <v>800</v>
      </c>
      <c r="W42" t="s">
        <v>801</v>
      </c>
      <c r="X42" t="s">
        <v>788</v>
      </c>
      <c r="Y42" t="s">
        <v>802</v>
      </c>
      <c r="Z42" t="s">
        <v>803</v>
      </c>
      <c r="AA42" t="s">
        <v>74</v>
      </c>
      <c r="AB42" t="s">
        <v>804</v>
      </c>
      <c r="AC42" t="s">
        <v>805</v>
      </c>
      <c r="AD42" t="s">
        <v>720</v>
      </c>
      <c r="AE42" t="s">
        <v>74</v>
      </c>
      <c r="AF42" t="s">
        <v>74</v>
      </c>
      <c r="AG42">
        <v>57</v>
      </c>
      <c r="AH42">
        <v>6</v>
      </c>
      <c r="AI42">
        <v>6</v>
      </c>
      <c r="AJ42">
        <v>1</v>
      </c>
      <c r="AK42">
        <v>4</v>
      </c>
      <c r="AL42" t="s">
        <v>622</v>
      </c>
      <c r="AM42" t="s">
        <v>140</v>
      </c>
      <c r="AN42" t="s">
        <v>623</v>
      </c>
      <c r="AO42" t="s">
        <v>646</v>
      </c>
      <c r="AP42" t="s">
        <v>680</v>
      </c>
      <c r="AQ42" t="s">
        <v>74</v>
      </c>
      <c r="AR42" t="s">
        <v>647</v>
      </c>
      <c r="AS42" t="s">
        <v>648</v>
      </c>
      <c r="AT42" t="s">
        <v>74</v>
      </c>
      <c r="AU42">
        <v>2006</v>
      </c>
      <c r="AV42">
        <v>53</v>
      </c>
      <c r="AW42" t="s">
        <v>736</v>
      </c>
      <c r="AX42" t="s">
        <v>74</v>
      </c>
      <c r="AY42" t="s">
        <v>74</v>
      </c>
      <c r="AZ42" t="s">
        <v>74</v>
      </c>
      <c r="BA42" t="s">
        <v>74</v>
      </c>
      <c r="BB42">
        <v>903</v>
      </c>
      <c r="BC42">
        <v>911</v>
      </c>
      <c r="BD42" t="s">
        <v>74</v>
      </c>
      <c r="BE42" t="s">
        <v>806</v>
      </c>
      <c r="BF42" t="str">
        <f>HYPERLINK("http://dx.doi.org/10.1016/j.dsr2.2006.02.003","http://dx.doi.org/10.1016/j.dsr2.2006.02.003")</f>
        <v>http://dx.doi.org/10.1016/j.dsr2.2006.02.003</v>
      </c>
      <c r="BG42" t="s">
        <v>74</v>
      </c>
      <c r="BH42" t="s">
        <v>74</v>
      </c>
      <c r="BI42">
        <v>9</v>
      </c>
      <c r="BJ42" t="s">
        <v>629</v>
      </c>
      <c r="BK42" t="s">
        <v>98</v>
      </c>
      <c r="BL42" t="s">
        <v>629</v>
      </c>
      <c r="BM42" t="s">
        <v>738</v>
      </c>
      <c r="BN42" t="s">
        <v>74</v>
      </c>
      <c r="BO42" t="s">
        <v>534</v>
      </c>
      <c r="BP42" t="s">
        <v>74</v>
      </c>
      <c r="BQ42" t="s">
        <v>74</v>
      </c>
      <c r="BR42" t="s">
        <v>101</v>
      </c>
      <c r="BS42" t="s">
        <v>807</v>
      </c>
      <c r="BT42" t="str">
        <f>HYPERLINK("https%3A%2F%2Fwww.webofscience.com%2Fwos%2Fwoscc%2Ffull-record%2FWOS:000240614400008","View Full Record in Web of Science")</f>
        <v>View Full Record in Web of Science</v>
      </c>
    </row>
    <row r="43" spans="1:72" x14ac:dyDescent="0.15">
      <c r="A43" t="s">
        <v>72</v>
      </c>
      <c r="B43" t="s">
        <v>808</v>
      </c>
      <c r="C43" t="s">
        <v>74</v>
      </c>
      <c r="D43" t="s">
        <v>74</v>
      </c>
      <c r="E43" t="s">
        <v>74</v>
      </c>
      <c r="F43" t="s">
        <v>809</v>
      </c>
      <c r="G43" t="s">
        <v>74</v>
      </c>
      <c r="H43" t="s">
        <v>74</v>
      </c>
      <c r="I43" t="s">
        <v>810</v>
      </c>
      <c r="J43" t="s">
        <v>634</v>
      </c>
      <c r="K43" t="s">
        <v>74</v>
      </c>
      <c r="L43" t="s">
        <v>74</v>
      </c>
      <c r="M43" t="s">
        <v>77</v>
      </c>
      <c r="N43" t="s">
        <v>78</v>
      </c>
      <c r="O43" t="s">
        <v>74</v>
      </c>
      <c r="P43" t="s">
        <v>74</v>
      </c>
      <c r="Q43" t="s">
        <v>74</v>
      </c>
      <c r="R43" t="s">
        <v>74</v>
      </c>
      <c r="S43" t="s">
        <v>74</v>
      </c>
      <c r="T43" t="s">
        <v>811</v>
      </c>
      <c r="U43" t="s">
        <v>812</v>
      </c>
      <c r="V43" t="s">
        <v>813</v>
      </c>
      <c r="W43" t="s">
        <v>814</v>
      </c>
      <c r="X43" t="s">
        <v>815</v>
      </c>
      <c r="Y43" t="s">
        <v>816</v>
      </c>
      <c r="Z43" t="s">
        <v>817</v>
      </c>
      <c r="AA43" t="s">
        <v>818</v>
      </c>
      <c r="AB43" t="s">
        <v>819</v>
      </c>
      <c r="AC43" t="s">
        <v>820</v>
      </c>
      <c r="AD43" t="s">
        <v>735</v>
      </c>
      <c r="AE43" t="s">
        <v>74</v>
      </c>
      <c r="AF43" t="s">
        <v>74</v>
      </c>
      <c r="AG43">
        <v>78</v>
      </c>
      <c r="AH43">
        <v>21</v>
      </c>
      <c r="AI43">
        <v>24</v>
      </c>
      <c r="AJ43">
        <v>1</v>
      </c>
      <c r="AK43">
        <v>4</v>
      </c>
      <c r="AL43" t="s">
        <v>622</v>
      </c>
      <c r="AM43" t="s">
        <v>140</v>
      </c>
      <c r="AN43" t="s">
        <v>623</v>
      </c>
      <c r="AO43" t="s">
        <v>646</v>
      </c>
      <c r="AP43" t="s">
        <v>680</v>
      </c>
      <c r="AQ43" t="s">
        <v>74</v>
      </c>
      <c r="AR43" t="s">
        <v>647</v>
      </c>
      <c r="AS43" t="s">
        <v>648</v>
      </c>
      <c r="AT43" t="s">
        <v>74</v>
      </c>
      <c r="AU43">
        <v>2006</v>
      </c>
      <c r="AV43">
        <v>53</v>
      </c>
      <c r="AW43" t="s">
        <v>736</v>
      </c>
      <c r="AX43" t="s">
        <v>74</v>
      </c>
      <c r="AY43" t="s">
        <v>74</v>
      </c>
      <c r="AZ43" t="s">
        <v>74</v>
      </c>
      <c r="BA43" t="s">
        <v>74</v>
      </c>
      <c r="BB43">
        <v>912</v>
      </c>
      <c r="BC43">
        <v>920</v>
      </c>
      <c r="BD43" t="s">
        <v>74</v>
      </c>
      <c r="BE43" t="s">
        <v>821</v>
      </c>
      <c r="BF43" t="str">
        <f>HYPERLINK("http://dx.doi.org/10.1016/j.dsr2.2006.02.004","http://dx.doi.org/10.1016/j.dsr2.2006.02.004")</f>
        <v>http://dx.doi.org/10.1016/j.dsr2.2006.02.004</v>
      </c>
      <c r="BG43" t="s">
        <v>74</v>
      </c>
      <c r="BH43" t="s">
        <v>74</v>
      </c>
      <c r="BI43">
        <v>9</v>
      </c>
      <c r="BJ43" t="s">
        <v>629</v>
      </c>
      <c r="BK43" t="s">
        <v>98</v>
      </c>
      <c r="BL43" t="s">
        <v>629</v>
      </c>
      <c r="BM43" t="s">
        <v>738</v>
      </c>
      <c r="BN43" t="s">
        <v>74</v>
      </c>
      <c r="BO43" t="s">
        <v>74</v>
      </c>
      <c r="BP43" t="s">
        <v>74</v>
      </c>
      <c r="BQ43" t="s">
        <v>74</v>
      </c>
      <c r="BR43" t="s">
        <v>101</v>
      </c>
      <c r="BS43" t="s">
        <v>822</v>
      </c>
      <c r="BT43" t="str">
        <f>HYPERLINK("https%3A%2F%2Fwww.webofscience.com%2Fwos%2Fwoscc%2Ffull-record%2FWOS:000240614400009","View Full Record in Web of Science")</f>
        <v>View Full Record in Web of Science</v>
      </c>
    </row>
    <row r="44" spans="1:72" x14ac:dyDescent="0.15">
      <c r="A44" t="s">
        <v>72</v>
      </c>
      <c r="B44" t="s">
        <v>823</v>
      </c>
      <c r="C44" t="s">
        <v>74</v>
      </c>
      <c r="D44" t="s">
        <v>74</v>
      </c>
      <c r="E44" t="s">
        <v>74</v>
      </c>
      <c r="F44" t="s">
        <v>824</v>
      </c>
      <c r="G44" t="s">
        <v>74</v>
      </c>
      <c r="H44" t="s">
        <v>74</v>
      </c>
      <c r="I44" t="s">
        <v>825</v>
      </c>
      <c r="J44" t="s">
        <v>634</v>
      </c>
      <c r="K44" t="s">
        <v>74</v>
      </c>
      <c r="L44" t="s">
        <v>74</v>
      </c>
      <c r="M44" t="s">
        <v>77</v>
      </c>
      <c r="N44" t="s">
        <v>78</v>
      </c>
      <c r="O44" t="s">
        <v>74</v>
      </c>
      <c r="P44" t="s">
        <v>74</v>
      </c>
      <c r="Q44" t="s">
        <v>74</v>
      </c>
      <c r="R44" t="s">
        <v>74</v>
      </c>
      <c r="S44" t="s">
        <v>74</v>
      </c>
      <c r="T44" t="s">
        <v>826</v>
      </c>
      <c r="U44" t="s">
        <v>827</v>
      </c>
      <c r="V44" t="s">
        <v>828</v>
      </c>
      <c r="W44" t="s">
        <v>801</v>
      </c>
      <c r="X44" t="s">
        <v>788</v>
      </c>
      <c r="Y44" t="s">
        <v>802</v>
      </c>
      <c r="Z44" t="s">
        <v>803</v>
      </c>
      <c r="AA44" t="s">
        <v>74</v>
      </c>
      <c r="AB44" t="s">
        <v>804</v>
      </c>
      <c r="AC44" t="s">
        <v>829</v>
      </c>
      <c r="AD44" t="s">
        <v>735</v>
      </c>
      <c r="AE44" t="s">
        <v>74</v>
      </c>
      <c r="AF44" t="s">
        <v>74</v>
      </c>
      <c r="AG44">
        <v>68</v>
      </c>
      <c r="AH44">
        <v>24</v>
      </c>
      <c r="AI44">
        <v>27</v>
      </c>
      <c r="AJ44">
        <v>4</v>
      </c>
      <c r="AK44">
        <v>27</v>
      </c>
      <c r="AL44" t="s">
        <v>622</v>
      </c>
      <c r="AM44" t="s">
        <v>140</v>
      </c>
      <c r="AN44" t="s">
        <v>623</v>
      </c>
      <c r="AO44" t="s">
        <v>646</v>
      </c>
      <c r="AP44" t="s">
        <v>680</v>
      </c>
      <c r="AQ44" t="s">
        <v>74</v>
      </c>
      <c r="AR44" t="s">
        <v>647</v>
      </c>
      <c r="AS44" t="s">
        <v>648</v>
      </c>
      <c r="AT44" t="s">
        <v>74</v>
      </c>
      <c r="AU44">
        <v>2006</v>
      </c>
      <c r="AV44">
        <v>53</v>
      </c>
      <c r="AW44" t="s">
        <v>736</v>
      </c>
      <c r="AX44" t="s">
        <v>74</v>
      </c>
      <c r="AY44" t="s">
        <v>74</v>
      </c>
      <c r="AZ44" t="s">
        <v>74</v>
      </c>
      <c r="BA44" t="s">
        <v>74</v>
      </c>
      <c r="BB44">
        <v>921</v>
      </c>
      <c r="BC44">
        <v>931</v>
      </c>
      <c r="BD44" t="s">
        <v>74</v>
      </c>
      <c r="BE44" t="s">
        <v>830</v>
      </c>
      <c r="BF44" t="str">
        <f>HYPERLINK("http://dx.doi.org/10.1016/j.dsr2.2006.03.006","http://dx.doi.org/10.1016/j.dsr2.2006.03.006")</f>
        <v>http://dx.doi.org/10.1016/j.dsr2.2006.03.006</v>
      </c>
      <c r="BG44" t="s">
        <v>74</v>
      </c>
      <c r="BH44" t="s">
        <v>74</v>
      </c>
      <c r="BI44">
        <v>11</v>
      </c>
      <c r="BJ44" t="s">
        <v>629</v>
      </c>
      <c r="BK44" t="s">
        <v>98</v>
      </c>
      <c r="BL44" t="s">
        <v>629</v>
      </c>
      <c r="BM44" t="s">
        <v>738</v>
      </c>
      <c r="BN44" t="s">
        <v>74</v>
      </c>
      <c r="BO44" t="s">
        <v>74</v>
      </c>
      <c r="BP44" t="s">
        <v>74</v>
      </c>
      <c r="BQ44" t="s">
        <v>74</v>
      </c>
      <c r="BR44" t="s">
        <v>101</v>
      </c>
      <c r="BS44" t="s">
        <v>831</v>
      </c>
      <c r="BT44" t="str">
        <f>HYPERLINK("https%3A%2F%2Fwww.webofscience.com%2Fwos%2Fwoscc%2Ffull-record%2FWOS:000240614400010","View Full Record in Web of Science")</f>
        <v>View Full Record in Web of Science</v>
      </c>
    </row>
    <row r="45" spans="1:72" x14ac:dyDescent="0.15">
      <c r="A45" t="s">
        <v>72</v>
      </c>
      <c r="B45" t="s">
        <v>832</v>
      </c>
      <c r="C45" t="s">
        <v>74</v>
      </c>
      <c r="D45" t="s">
        <v>74</v>
      </c>
      <c r="E45" t="s">
        <v>74</v>
      </c>
      <c r="F45" t="s">
        <v>833</v>
      </c>
      <c r="G45" t="s">
        <v>74</v>
      </c>
      <c r="H45" t="s">
        <v>74</v>
      </c>
      <c r="I45" t="s">
        <v>834</v>
      </c>
      <c r="J45" t="s">
        <v>634</v>
      </c>
      <c r="K45" t="s">
        <v>74</v>
      </c>
      <c r="L45" t="s">
        <v>74</v>
      </c>
      <c r="M45" t="s">
        <v>77</v>
      </c>
      <c r="N45" t="s">
        <v>78</v>
      </c>
      <c r="O45" t="s">
        <v>74</v>
      </c>
      <c r="P45" t="s">
        <v>74</v>
      </c>
      <c r="Q45" t="s">
        <v>74</v>
      </c>
      <c r="R45" t="s">
        <v>74</v>
      </c>
      <c r="S45" t="s">
        <v>74</v>
      </c>
      <c r="T45" t="s">
        <v>835</v>
      </c>
      <c r="U45" t="s">
        <v>836</v>
      </c>
      <c r="V45" t="s">
        <v>837</v>
      </c>
      <c r="W45" t="s">
        <v>838</v>
      </c>
      <c r="X45" t="s">
        <v>839</v>
      </c>
      <c r="Y45" t="s">
        <v>840</v>
      </c>
      <c r="Z45" t="s">
        <v>841</v>
      </c>
      <c r="AA45" t="s">
        <v>842</v>
      </c>
      <c r="AB45" t="s">
        <v>843</v>
      </c>
      <c r="AC45" t="s">
        <v>74</v>
      </c>
      <c r="AD45" t="s">
        <v>74</v>
      </c>
      <c r="AE45" t="s">
        <v>74</v>
      </c>
      <c r="AF45" t="s">
        <v>74</v>
      </c>
      <c r="AG45">
        <v>44</v>
      </c>
      <c r="AH45">
        <v>23</v>
      </c>
      <c r="AI45">
        <v>23</v>
      </c>
      <c r="AJ45">
        <v>0</v>
      </c>
      <c r="AK45">
        <v>1</v>
      </c>
      <c r="AL45" t="s">
        <v>622</v>
      </c>
      <c r="AM45" t="s">
        <v>140</v>
      </c>
      <c r="AN45" t="s">
        <v>623</v>
      </c>
      <c r="AO45" t="s">
        <v>646</v>
      </c>
      <c r="AP45" t="s">
        <v>680</v>
      </c>
      <c r="AQ45" t="s">
        <v>74</v>
      </c>
      <c r="AR45" t="s">
        <v>647</v>
      </c>
      <c r="AS45" t="s">
        <v>648</v>
      </c>
      <c r="AT45" t="s">
        <v>74</v>
      </c>
      <c r="AU45">
        <v>2006</v>
      </c>
      <c r="AV45">
        <v>53</v>
      </c>
      <c r="AW45" t="s">
        <v>736</v>
      </c>
      <c r="AX45" t="s">
        <v>74</v>
      </c>
      <c r="AY45" t="s">
        <v>74</v>
      </c>
      <c r="AZ45" t="s">
        <v>74</v>
      </c>
      <c r="BA45" t="s">
        <v>74</v>
      </c>
      <c r="BB45">
        <v>932</v>
      </c>
      <c r="BC45">
        <v>948</v>
      </c>
      <c r="BD45" t="s">
        <v>74</v>
      </c>
      <c r="BE45" t="s">
        <v>844</v>
      </c>
      <c r="BF45" t="str">
        <f>HYPERLINK("http://dx.doi.org/10.1016/j.dsr2.2006.02.005","http://dx.doi.org/10.1016/j.dsr2.2006.02.005")</f>
        <v>http://dx.doi.org/10.1016/j.dsr2.2006.02.005</v>
      </c>
      <c r="BG45" t="s">
        <v>74</v>
      </c>
      <c r="BH45" t="s">
        <v>74</v>
      </c>
      <c r="BI45">
        <v>17</v>
      </c>
      <c r="BJ45" t="s">
        <v>629</v>
      </c>
      <c r="BK45" t="s">
        <v>98</v>
      </c>
      <c r="BL45" t="s">
        <v>629</v>
      </c>
      <c r="BM45" t="s">
        <v>738</v>
      </c>
      <c r="BN45" t="s">
        <v>74</v>
      </c>
      <c r="BO45" t="s">
        <v>74</v>
      </c>
      <c r="BP45" t="s">
        <v>74</v>
      </c>
      <c r="BQ45" t="s">
        <v>74</v>
      </c>
      <c r="BR45" t="s">
        <v>101</v>
      </c>
      <c r="BS45" t="s">
        <v>845</v>
      </c>
      <c r="BT45" t="str">
        <f>HYPERLINK("https%3A%2F%2Fwww.webofscience.com%2Fwos%2Fwoscc%2Ffull-record%2FWOS:000240614400011","View Full Record in Web of Science")</f>
        <v>View Full Record in Web of Science</v>
      </c>
    </row>
    <row r="46" spans="1:72" x14ac:dyDescent="0.15">
      <c r="A46" t="s">
        <v>72</v>
      </c>
      <c r="B46" t="s">
        <v>846</v>
      </c>
      <c r="C46" t="s">
        <v>74</v>
      </c>
      <c r="D46" t="s">
        <v>74</v>
      </c>
      <c r="E46" t="s">
        <v>74</v>
      </c>
      <c r="F46" t="s">
        <v>847</v>
      </c>
      <c r="G46" t="s">
        <v>74</v>
      </c>
      <c r="H46" t="s">
        <v>74</v>
      </c>
      <c r="I46" t="s">
        <v>848</v>
      </c>
      <c r="J46" t="s">
        <v>634</v>
      </c>
      <c r="K46" t="s">
        <v>74</v>
      </c>
      <c r="L46" t="s">
        <v>74</v>
      </c>
      <c r="M46" t="s">
        <v>77</v>
      </c>
      <c r="N46" t="s">
        <v>78</v>
      </c>
      <c r="O46" t="s">
        <v>74</v>
      </c>
      <c r="P46" t="s">
        <v>74</v>
      </c>
      <c r="Q46" t="s">
        <v>74</v>
      </c>
      <c r="R46" t="s">
        <v>74</v>
      </c>
      <c r="S46" t="s">
        <v>74</v>
      </c>
      <c r="T46" t="s">
        <v>849</v>
      </c>
      <c r="U46" t="s">
        <v>850</v>
      </c>
      <c r="V46" t="s">
        <v>851</v>
      </c>
      <c r="W46" t="s">
        <v>852</v>
      </c>
      <c r="X46" t="s">
        <v>853</v>
      </c>
      <c r="Y46" t="s">
        <v>840</v>
      </c>
      <c r="Z46" t="s">
        <v>854</v>
      </c>
      <c r="AA46" t="s">
        <v>842</v>
      </c>
      <c r="AB46" t="s">
        <v>855</v>
      </c>
      <c r="AC46" t="s">
        <v>74</v>
      </c>
      <c r="AD46" t="s">
        <v>74</v>
      </c>
      <c r="AE46" t="s">
        <v>74</v>
      </c>
      <c r="AF46" t="s">
        <v>74</v>
      </c>
      <c r="AG46">
        <v>38</v>
      </c>
      <c r="AH46">
        <v>24</v>
      </c>
      <c r="AI46">
        <v>25</v>
      </c>
      <c r="AJ46">
        <v>0</v>
      </c>
      <c r="AK46">
        <v>3</v>
      </c>
      <c r="AL46" t="s">
        <v>622</v>
      </c>
      <c r="AM46" t="s">
        <v>140</v>
      </c>
      <c r="AN46" t="s">
        <v>623</v>
      </c>
      <c r="AO46" t="s">
        <v>646</v>
      </c>
      <c r="AP46" t="s">
        <v>680</v>
      </c>
      <c r="AQ46" t="s">
        <v>74</v>
      </c>
      <c r="AR46" t="s">
        <v>647</v>
      </c>
      <c r="AS46" t="s">
        <v>648</v>
      </c>
      <c r="AT46" t="s">
        <v>74</v>
      </c>
      <c r="AU46">
        <v>2006</v>
      </c>
      <c r="AV46">
        <v>53</v>
      </c>
      <c r="AW46" t="s">
        <v>736</v>
      </c>
      <c r="AX46" t="s">
        <v>74</v>
      </c>
      <c r="AY46" t="s">
        <v>74</v>
      </c>
      <c r="AZ46" t="s">
        <v>74</v>
      </c>
      <c r="BA46" t="s">
        <v>74</v>
      </c>
      <c r="BB46">
        <v>949</v>
      </c>
      <c r="BC46">
        <v>958</v>
      </c>
      <c r="BD46" t="s">
        <v>74</v>
      </c>
      <c r="BE46" t="s">
        <v>856</v>
      </c>
      <c r="BF46" t="str">
        <f>HYPERLINK("http://dx.doi.org/10.1016/j.dsr2.2006.02.007","http://dx.doi.org/10.1016/j.dsr2.2006.02.007")</f>
        <v>http://dx.doi.org/10.1016/j.dsr2.2006.02.007</v>
      </c>
      <c r="BG46" t="s">
        <v>74</v>
      </c>
      <c r="BH46" t="s">
        <v>74</v>
      </c>
      <c r="BI46">
        <v>10</v>
      </c>
      <c r="BJ46" t="s">
        <v>629</v>
      </c>
      <c r="BK46" t="s">
        <v>98</v>
      </c>
      <c r="BL46" t="s">
        <v>629</v>
      </c>
      <c r="BM46" t="s">
        <v>738</v>
      </c>
      <c r="BN46" t="s">
        <v>74</v>
      </c>
      <c r="BO46" t="s">
        <v>74</v>
      </c>
      <c r="BP46" t="s">
        <v>74</v>
      </c>
      <c r="BQ46" t="s">
        <v>74</v>
      </c>
      <c r="BR46" t="s">
        <v>101</v>
      </c>
      <c r="BS46" t="s">
        <v>857</v>
      </c>
      <c r="BT46" t="str">
        <f>HYPERLINK("https%3A%2F%2Fwww.webofscience.com%2Fwos%2Fwoscc%2Ffull-record%2FWOS:000240614400012","View Full Record in Web of Science")</f>
        <v>View Full Record in Web of Science</v>
      </c>
    </row>
    <row r="47" spans="1:72" x14ac:dyDescent="0.15">
      <c r="A47" t="s">
        <v>72</v>
      </c>
      <c r="B47" t="s">
        <v>858</v>
      </c>
      <c r="C47" t="s">
        <v>74</v>
      </c>
      <c r="D47" t="s">
        <v>74</v>
      </c>
      <c r="E47" t="s">
        <v>74</v>
      </c>
      <c r="F47" t="s">
        <v>859</v>
      </c>
      <c r="G47" t="s">
        <v>74</v>
      </c>
      <c r="H47" t="s">
        <v>74</v>
      </c>
      <c r="I47" t="s">
        <v>860</v>
      </c>
      <c r="J47" t="s">
        <v>634</v>
      </c>
      <c r="K47" t="s">
        <v>74</v>
      </c>
      <c r="L47" t="s">
        <v>74</v>
      </c>
      <c r="M47" t="s">
        <v>77</v>
      </c>
      <c r="N47" t="s">
        <v>78</v>
      </c>
      <c r="O47" t="s">
        <v>74</v>
      </c>
      <c r="P47" t="s">
        <v>74</v>
      </c>
      <c r="Q47" t="s">
        <v>74</v>
      </c>
      <c r="R47" t="s">
        <v>74</v>
      </c>
      <c r="S47" t="s">
        <v>74</v>
      </c>
      <c r="T47" t="s">
        <v>861</v>
      </c>
      <c r="U47" t="s">
        <v>862</v>
      </c>
      <c r="V47" t="s">
        <v>863</v>
      </c>
      <c r="W47" t="s">
        <v>864</v>
      </c>
      <c r="X47" t="s">
        <v>865</v>
      </c>
      <c r="Y47" t="s">
        <v>866</v>
      </c>
      <c r="Z47" t="s">
        <v>867</v>
      </c>
      <c r="AA47" t="s">
        <v>868</v>
      </c>
      <c r="AB47" t="s">
        <v>869</v>
      </c>
      <c r="AC47" t="s">
        <v>74</v>
      </c>
      <c r="AD47" t="s">
        <v>74</v>
      </c>
      <c r="AE47" t="s">
        <v>74</v>
      </c>
      <c r="AF47" t="s">
        <v>74</v>
      </c>
      <c r="AG47">
        <v>71</v>
      </c>
      <c r="AH47">
        <v>70</v>
      </c>
      <c r="AI47">
        <v>73</v>
      </c>
      <c r="AJ47">
        <v>1</v>
      </c>
      <c r="AK47">
        <v>33</v>
      </c>
      <c r="AL47" t="s">
        <v>622</v>
      </c>
      <c r="AM47" t="s">
        <v>140</v>
      </c>
      <c r="AN47" t="s">
        <v>623</v>
      </c>
      <c r="AO47" t="s">
        <v>646</v>
      </c>
      <c r="AP47" t="s">
        <v>680</v>
      </c>
      <c r="AQ47" t="s">
        <v>74</v>
      </c>
      <c r="AR47" t="s">
        <v>647</v>
      </c>
      <c r="AS47" t="s">
        <v>648</v>
      </c>
      <c r="AT47" t="s">
        <v>74</v>
      </c>
      <c r="AU47">
        <v>2006</v>
      </c>
      <c r="AV47">
        <v>53</v>
      </c>
      <c r="AW47" t="s">
        <v>736</v>
      </c>
      <c r="AX47" t="s">
        <v>74</v>
      </c>
      <c r="AY47" t="s">
        <v>74</v>
      </c>
      <c r="AZ47" t="s">
        <v>74</v>
      </c>
      <c r="BA47" t="s">
        <v>74</v>
      </c>
      <c r="BB47">
        <v>959</v>
      </c>
      <c r="BC47">
        <v>971</v>
      </c>
      <c r="BD47" t="s">
        <v>74</v>
      </c>
      <c r="BE47" t="s">
        <v>870</v>
      </c>
      <c r="BF47" t="str">
        <f>HYPERLINK("http://dx.doi.org/10.1016/j.dsr2.2006.02.006","http://dx.doi.org/10.1016/j.dsr2.2006.02.006")</f>
        <v>http://dx.doi.org/10.1016/j.dsr2.2006.02.006</v>
      </c>
      <c r="BG47" t="s">
        <v>74</v>
      </c>
      <c r="BH47" t="s">
        <v>74</v>
      </c>
      <c r="BI47">
        <v>13</v>
      </c>
      <c r="BJ47" t="s">
        <v>629</v>
      </c>
      <c r="BK47" t="s">
        <v>98</v>
      </c>
      <c r="BL47" t="s">
        <v>629</v>
      </c>
      <c r="BM47" t="s">
        <v>738</v>
      </c>
      <c r="BN47" t="s">
        <v>74</v>
      </c>
      <c r="BO47" t="s">
        <v>74</v>
      </c>
      <c r="BP47" t="s">
        <v>74</v>
      </c>
      <c r="BQ47" t="s">
        <v>74</v>
      </c>
      <c r="BR47" t="s">
        <v>101</v>
      </c>
      <c r="BS47" t="s">
        <v>871</v>
      </c>
      <c r="BT47" t="str">
        <f>HYPERLINK("https%3A%2F%2Fwww.webofscience.com%2Fwos%2Fwoscc%2Ffull-record%2FWOS:000240614400013","View Full Record in Web of Science")</f>
        <v>View Full Record in Web of Science</v>
      </c>
    </row>
    <row r="48" spans="1:72" x14ac:dyDescent="0.15">
      <c r="A48" t="s">
        <v>72</v>
      </c>
      <c r="B48" t="s">
        <v>872</v>
      </c>
      <c r="C48" t="s">
        <v>74</v>
      </c>
      <c r="D48" t="s">
        <v>74</v>
      </c>
      <c r="E48" t="s">
        <v>74</v>
      </c>
      <c r="F48" t="s">
        <v>873</v>
      </c>
      <c r="G48" t="s">
        <v>74</v>
      </c>
      <c r="H48" t="s">
        <v>74</v>
      </c>
      <c r="I48" t="s">
        <v>874</v>
      </c>
      <c r="J48" t="s">
        <v>634</v>
      </c>
      <c r="K48" t="s">
        <v>74</v>
      </c>
      <c r="L48" t="s">
        <v>74</v>
      </c>
      <c r="M48" t="s">
        <v>77</v>
      </c>
      <c r="N48" t="s">
        <v>78</v>
      </c>
      <c r="O48" t="s">
        <v>74</v>
      </c>
      <c r="P48" t="s">
        <v>74</v>
      </c>
      <c r="Q48" t="s">
        <v>74</v>
      </c>
      <c r="R48" t="s">
        <v>74</v>
      </c>
      <c r="S48" t="s">
        <v>74</v>
      </c>
      <c r="T48" t="s">
        <v>875</v>
      </c>
      <c r="U48" t="s">
        <v>876</v>
      </c>
      <c r="V48" t="s">
        <v>877</v>
      </c>
      <c r="W48" t="s">
        <v>878</v>
      </c>
      <c r="X48" t="s">
        <v>879</v>
      </c>
      <c r="Y48" t="s">
        <v>880</v>
      </c>
      <c r="Z48" t="s">
        <v>881</v>
      </c>
      <c r="AA48" t="s">
        <v>882</v>
      </c>
      <c r="AB48" t="s">
        <v>883</v>
      </c>
      <c r="AC48" t="s">
        <v>74</v>
      </c>
      <c r="AD48" t="s">
        <v>74</v>
      </c>
      <c r="AE48" t="s">
        <v>74</v>
      </c>
      <c r="AF48" t="s">
        <v>74</v>
      </c>
      <c r="AG48">
        <v>67</v>
      </c>
      <c r="AH48">
        <v>29</v>
      </c>
      <c r="AI48">
        <v>32</v>
      </c>
      <c r="AJ48">
        <v>0</v>
      </c>
      <c r="AK48">
        <v>11</v>
      </c>
      <c r="AL48" t="s">
        <v>622</v>
      </c>
      <c r="AM48" t="s">
        <v>140</v>
      </c>
      <c r="AN48" t="s">
        <v>623</v>
      </c>
      <c r="AO48" t="s">
        <v>646</v>
      </c>
      <c r="AP48" t="s">
        <v>680</v>
      </c>
      <c r="AQ48" t="s">
        <v>74</v>
      </c>
      <c r="AR48" t="s">
        <v>647</v>
      </c>
      <c r="AS48" t="s">
        <v>648</v>
      </c>
      <c r="AT48" t="s">
        <v>74</v>
      </c>
      <c r="AU48">
        <v>2006</v>
      </c>
      <c r="AV48">
        <v>53</v>
      </c>
      <c r="AW48" t="s">
        <v>736</v>
      </c>
      <c r="AX48" t="s">
        <v>74</v>
      </c>
      <c r="AY48" t="s">
        <v>74</v>
      </c>
      <c r="AZ48" t="s">
        <v>74</v>
      </c>
      <c r="BA48" t="s">
        <v>74</v>
      </c>
      <c r="BB48">
        <v>972</v>
      </c>
      <c r="BC48">
        <v>984</v>
      </c>
      <c r="BD48" t="s">
        <v>74</v>
      </c>
      <c r="BE48" t="s">
        <v>884</v>
      </c>
      <c r="BF48" t="str">
        <f>HYPERLINK("http://dx.doi.org/10.1016/j.dsr2.2006.02.008","http://dx.doi.org/10.1016/j.dsr2.2006.02.008")</f>
        <v>http://dx.doi.org/10.1016/j.dsr2.2006.02.008</v>
      </c>
      <c r="BG48" t="s">
        <v>74</v>
      </c>
      <c r="BH48" t="s">
        <v>74</v>
      </c>
      <c r="BI48">
        <v>13</v>
      </c>
      <c r="BJ48" t="s">
        <v>629</v>
      </c>
      <c r="BK48" t="s">
        <v>98</v>
      </c>
      <c r="BL48" t="s">
        <v>629</v>
      </c>
      <c r="BM48" t="s">
        <v>738</v>
      </c>
      <c r="BN48" t="s">
        <v>74</v>
      </c>
      <c r="BO48" t="s">
        <v>74</v>
      </c>
      <c r="BP48" t="s">
        <v>74</v>
      </c>
      <c r="BQ48" t="s">
        <v>74</v>
      </c>
      <c r="BR48" t="s">
        <v>101</v>
      </c>
      <c r="BS48" t="s">
        <v>885</v>
      </c>
      <c r="BT48" t="str">
        <f>HYPERLINK("https%3A%2F%2Fwww.webofscience.com%2Fwos%2Fwoscc%2Ffull-record%2FWOS:000240614400014","View Full Record in Web of Science")</f>
        <v>View Full Record in Web of Science</v>
      </c>
    </row>
    <row r="49" spans="1:72" x14ac:dyDescent="0.15">
      <c r="A49" t="s">
        <v>72</v>
      </c>
      <c r="B49" t="s">
        <v>886</v>
      </c>
      <c r="C49" t="s">
        <v>74</v>
      </c>
      <c r="D49" t="s">
        <v>74</v>
      </c>
      <c r="E49" t="s">
        <v>74</v>
      </c>
      <c r="F49" t="s">
        <v>887</v>
      </c>
      <c r="G49" t="s">
        <v>74</v>
      </c>
      <c r="H49" t="s">
        <v>74</v>
      </c>
      <c r="I49" t="s">
        <v>888</v>
      </c>
      <c r="J49" t="s">
        <v>634</v>
      </c>
      <c r="K49" t="s">
        <v>74</v>
      </c>
      <c r="L49" t="s">
        <v>74</v>
      </c>
      <c r="M49" t="s">
        <v>77</v>
      </c>
      <c r="N49" t="s">
        <v>289</v>
      </c>
      <c r="O49" t="s">
        <v>74</v>
      </c>
      <c r="P49" t="s">
        <v>74</v>
      </c>
      <c r="Q49" t="s">
        <v>74</v>
      </c>
      <c r="R49" t="s">
        <v>74</v>
      </c>
      <c r="S49" t="s">
        <v>74</v>
      </c>
      <c r="T49" t="s">
        <v>889</v>
      </c>
      <c r="U49" t="s">
        <v>890</v>
      </c>
      <c r="V49" t="s">
        <v>891</v>
      </c>
      <c r="W49" t="s">
        <v>801</v>
      </c>
      <c r="X49" t="s">
        <v>788</v>
      </c>
      <c r="Y49" t="s">
        <v>802</v>
      </c>
      <c r="Z49" t="s">
        <v>803</v>
      </c>
      <c r="AA49" t="s">
        <v>892</v>
      </c>
      <c r="AB49" t="s">
        <v>893</v>
      </c>
      <c r="AC49" t="s">
        <v>894</v>
      </c>
      <c r="AD49" t="s">
        <v>720</v>
      </c>
      <c r="AE49" t="s">
        <v>74</v>
      </c>
      <c r="AF49" t="s">
        <v>74</v>
      </c>
      <c r="AG49">
        <v>111</v>
      </c>
      <c r="AH49">
        <v>161</v>
      </c>
      <c r="AI49">
        <v>175</v>
      </c>
      <c r="AJ49">
        <v>4</v>
      </c>
      <c r="AK49">
        <v>44</v>
      </c>
      <c r="AL49" t="s">
        <v>622</v>
      </c>
      <c r="AM49" t="s">
        <v>140</v>
      </c>
      <c r="AN49" t="s">
        <v>623</v>
      </c>
      <c r="AO49" t="s">
        <v>646</v>
      </c>
      <c r="AP49" t="s">
        <v>680</v>
      </c>
      <c r="AQ49" t="s">
        <v>74</v>
      </c>
      <c r="AR49" t="s">
        <v>647</v>
      </c>
      <c r="AS49" t="s">
        <v>648</v>
      </c>
      <c r="AT49" t="s">
        <v>74</v>
      </c>
      <c r="AU49">
        <v>2006</v>
      </c>
      <c r="AV49">
        <v>53</v>
      </c>
      <c r="AW49" t="s">
        <v>736</v>
      </c>
      <c r="AX49" t="s">
        <v>74</v>
      </c>
      <c r="AY49" t="s">
        <v>74</v>
      </c>
      <c r="AZ49" t="s">
        <v>74</v>
      </c>
      <c r="BA49" t="s">
        <v>74</v>
      </c>
      <c r="BB49">
        <v>985</v>
      </c>
      <c r="BC49">
        <v>1008</v>
      </c>
      <c r="BD49" t="s">
        <v>74</v>
      </c>
      <c r="BE49" t="s">
        <v>895</v>
      </c>
      <c r="BF49" t="str">
        <f>HYPERLINK("http://dx.doi.org/10.1016/j.dsr2.2006.05.003","http://dx.doi.org/10.1016/j.dsr2.2006.05.003")</f>
        <v>http://dx.doi.org/10.1016/j.dsr2.2006.05.003</v>
      </c>
      <c r="BG49" t="s">
        <v>74</v>
      </c>
      <c r="BH49" t="s">
        <v>74</v>
      </c>
      <c r="BI49">
        <v>24</v>
      </c>
      <c r="BJ49" t="s">
        <v>629</v>
      </c>
      <c r="BK49" t="s">
        <v>98</v>
      </c>
      <c r="BL49" t="s">
        <v>629</v>
      </c>
      <c r="BM49" t="s">
        <v>738</v>
      </c>
      <c r="BN49" t="s">
        <v>74</v>
      </c>
      <c r="BO49" t="s">
        <v>74</v>
      </c>
      <c r="BP49" t="s">
        <v>74</v>
      </c>
      <c r="BQ49" t="s">
        <v>74</v>
      </c>
      <c r="BR49" t="s">
        <v>101</v>
      </c>
      <c r="BS49" t="s">
        <v>896</v>
      </c>
      <c r="BT49" t="str">
        <f>HYPERLINK("https%3A%2F%2Fwww.webofscience.com%2Fwos%2Fwoscc%2Ffull-record%2FWOS:000240614400015","View Full Record in Web of Science")</f>
        <v>View Full Record in Web of Science</v>
      </c>
    </row>
    <row r="50" spans="1:72" x14ac:dyDescent="0.15">
      <c r="A50" t="s">
        <v>72</v>
      </c>
      <c r="B50" t="s">
        <v>897</v>
      </c>
      <c r="C50" t="s">
        <v>74</v>
      </c>
      <c r="D50" t="s">
        <v>74</v>
      </c>
      <c r="E50" t="s">
        <v>74</v>
      </c>
      <c r="F50" t="s">
        <v>898</v>
      </c>
      <c r="G50" t="s">
        <v>74</v>
      </c>
      <c r="H50" t="s">
        <v>74</v>
      </c>
      <c r="I50" t="s">
        <v>899</v>
      </c>
      <c r="J50" t="s">
        <v>634</v>
      </c>
      <c r="K50" t="s">
        <v>74</v>
      </c>
      <c r="L50" t="s">
        <v>74</v>
      </c>
      <c r="M50" t="s">
        <v>77</v>
      </c>
      <c r="N50" t="s">
        <v>289</v>
      </c>
      <c r="O50" t="s">
        <v>74</v>
      </c>
      <c r="P50" t="s">
        <v>74</v>
      </c>
      <c r="Q50" t="s">
        <v>74</v>
      </c>
      <c r="R50" t="s">
        <v>74</v>
      </c>
      <c r="S50" t="s">
        <v>74</v>
      </c>
      <c r="T50" t="s">
        <v>900</v>
      </c>
      <c r="U50" t="s">
        <v>901</v>
      </c>
      <c r="V50" t="s">
        <v>902</v>
      </c>
      <c r="W50" t="s">
        <v>903</v>
      </c>
      <c r="X50" t="s">
        <v>426</v>
      </c>
      <c r="Y50" t="s">
        <v>904</v>
      </c>
      <c r="Z50" t="s">
        <v>905</v>
      </c>
      <c r="AA50" t="s">
        <v>74</v>
      </c>
      <c r="AB50" t="s">
        <v>906</v>
      </c>
      <c r="AC50" t="s">
        <v>74</v>
      </c>
      <c r="AD50" t="s">
        <v>74</v>
      </c>
      <c r="AE50" t="s">
        <v>74</v>
      </c>
      <c r="AF50" t="s">
        <v>74</v>
      </c>
      <c r="AG50">
        <v>113</v>
      </c>
      <c r="AH50">
        <v>28</v>
      </c>
      <c r="AI50">
        <v>31</v>
      </c>
      <c r="AJ50">
        <v>1</v>
      </c>
      <c r="AK50">
        <v>21</v>
      </c>
      <c r="AL50" t="s">
        <v>622</v>
      </c>
      <c r="AM50" t="s">
        <v>140</v>
      </c>
      <c r="AN50" t="s">
        <v>623</v>
      </c>
      <c r="AO50" t="s">
        <v>646</v>
      </c>
      <c r="AP50" t="s">
        <v>680</v>
      </c>
      <c r="AQ50" t="s">
        <v>74</v>
      </c>
      <c r="AR50" t="s">
        <v>647</v>
      </c>
      <c r="AS50" t="s">
        <v>648</v>
      </c>
      <c r="AT50" t="s">
        <v>74</v>
      </c>
      <c r="AU50">
        <v>2006</v>
      </c>
      <c r="AV50">
        <v>53</v>
      </c>
      <c r="AW50" t="s">
        <v>736</v>
      </c>
      <c r="AX50" t="s">
        <v>74</v>
      </c>
      <c r="AY50" t="s">
        <v>74</v>
      </c>
      <c r="AZ50" t="s">
        <v>74</v>
      </c>
      <c r="BA50" t="s">
        <v>74</v>
      </c>
      <c r="BB50">
        <v>1009</v>
      </c>
      <c r="BC50">
        <v>1028</v>
      </c>
      <c r="BD50" t="s">
        <v>74</v>
      </c>
      <c r="BE50" t="s">
        <v>907</v>
      </c>
      <c r="BF50" t="str">
        <f>HYPERLINK("http://dx.doi.org/10.1016/j.dsr2.2006.02.012","http://dx.doi.org/10.1016/j.dsr2.2006.02.012")</f>
        <v>http://dx.doi.org/10.1016/j.dsr2.2006.02.012</v>
      </c>
      <c r="BG50" t="s">
        <v>74</v>
      </c>
      <c r="BH50" t="s">
        <v>74</v>
      </c>
      <c r="BI50">
        <v>20</v>
      </c>
      <c r="BJ50" t="s">
        <v>629</v>
      </c>
      <c r="BK50" t="s">
        <v>98</v>
      </c>
      <c r="BL50" t="s">
        <v>629</v>
      </c>
      <c r="BM50" t="s">
        <v>738</v>
      </c>
      <c r="BN50" t="s">
        <v>74</v>
      </c>
      <c r="BO50" t="s">
        <v>74</v>
      </c>
      <c r="BP50" t="s">
        <v>74</v>
      </c>
      <c r="BQ50" t="s">
        <v>74</v>
      </c>
      <c r="BR50" t="s">
        <v>101</v>
      </c>
      <c r="BS50" t="s">
        <v>908</v>
      </c>
      <c r="BT50" t="str">
        <f>HYPERLINK("https%3A%2F%2Fwww.webofscience.com%2Fwos%2Fwoscc%2Ffull-record%2FWOS:000240614400016","View Full Record in Web of Science")</f>
        <v>View Full Record in Web of Science</v>
      </c>
    </row>
    <row r="51" spans="1:72" x14ac:dyDescent="0.15">
      <c r="A51" t="s">
        <v>72</v>
      </c>
      <c r="B51" t="s">
        <v>909</v>
      </c>
      <c r="C51" t="s">
        <v>74</v>
      </c>
      <c r="D51" t="s">
        <v>74</v>
      </c>
      <c r="E51" t="s">
        <v>74</v>
      </c>
      <c r="F51" t="s">
        <v>910</v>
      </c>
      <c r="G51" t="s">
        <v>74</v>
      </c>
      <c r="H51" t="s">
        <v>74</v>
      </c>
      <c r="I51" t="s">
        <v>911</v>
      </c>
      <c r="J51" t="s">
        <v>634</v>
      </c>
      <c r="K51" t="s">
        <v>74</v>
      </c>
      <c r="L51" t="s">
        <v>74</v>
      </c>
      <c r="M51" t="s">
        <v>77</v>
      </c>
      <c r="N51" t="s">
        <v>289</v>
      </c>
      <c r="O51" t="s">
        <v>74</v>
      </c>
      <c r="P51" t="s">
        <v>74</v>
      </c>
      <c r="Q51" t="s">
        <v>74</v>
      </c>
      <c r="R51" t="s">
        <v>74</v>
      </c>
      <c r="S51" t="s">
        <v>74</v>
      </c>
      <c r="T51" t="s">
        <v>912</v>
      </c>
      <c r="U51" t="s">
        <v>913</v>
      </c>
      <c r="V51" t="s">
        <v>914</v>
      </c>
      <c r="W51" t="s">
        <v>915</v>
      </c>
      <c r="X51" t="s">
        <v>916</v>
      </c>
      <c r="Y51" t="s">
        <v>917</v>
      </c>
      <c r="Z51" t="s">
        <v>918</v>
      </c>
      <c r="AA51" t="s">
        <v>919</v>
      </c>
      <c r="AB51" t="s">
        <v>920</v>
      </c>
      <c r="AC51" t="s">
        <v>805</v>
      </c>
      <c r="AD51" t="s">
        <v>720</v>
      </c>
      <c r="AE51" t="s">
        <v>74</v>
      </c>
      <c r="AF51" t="s">
        <v>74</v>
      </c>
      <c r="AG51">
        <v>157</v>
      </c>
      <c r="AH51">
        <v>66</v>
      </c>
      <c r="AI51">
        <v>72</v>
      </c>
      <c r="AJ51">
        <v>0</v>
      </c>
      <c r="AK51">
        <v>23</v>
      </c>
      <c r="AL51" t="s">
        <v>622</v>
      </c>
      <c r="AM51" t="s">
        <v>140</v>
      </c>
      <c r="AN51" t="s">
        <v>623</v>
      </c>
      <c r="AO51" t="s">
        <v>646</v>
      </c>
      <c r="AP51" t="s">
        <v>680</v>
      </c>
      <c r="AQ51" t="s">
        <v>74</v>
      </c>
      <c r="AR51" t="s">
        <v>647</v>
      </c>
      <c r="AS51" t="s">
        <v>648</v>
      </c>
      <c r="AT51" t="s">
        <v>74</v>
      </c>
      <c r="AU51">
        <v>2006</v>
      </c>
      <c r="AV51">
        <v>53</v>
      </c>
      <c r="AW51" t="s">
        <v>736</v>
      </c>
      <c r="AX51" t="s">
        <v>74</v>
      </c>
      <c r="AY51" t="s">
        <v>74</v>
      </c>
      <c r="AZ51" t="s">
        <v>74</v>
      </c>
      <c r="BA51" t="s">
        <v>74</v>
      </c>
      <c r="BB51">
        <v>1029</v>
      </c>
      <c r="BC51">
        <v>1052</v>
      </c>
      <c r="BD51" t="s">
        <v>74</v>
      </c>
      <c r="BE51" t="s">
        <v>921</v>
      </c>
      <c r="BF51" t="str">
        <f>HYPERLINK("http://dx.doi.org/10.1016/j.dsr2.2005.10.021","http://dx.doi.org/10.1016/j.dsr2.2005.10.021")</f>
        <v>http://dx.doi.org/10.1016/j.dsr2.2005.10.021</v>
      </c>
      <c r="BG51" t="s">
        <v>74</v>
      </c>
      <c r="BH51" t="s">
        <v>74</v>
      </c>
      <c r="BI51">
        <v>24</v>
      </c>
      <c r="BJ51" t="s">
        <v>629</v>
      </c>
      <c r="BK51" t="s">
        <v>98</v>
      </c>
      <c r="BL51" t="s">
        <v>629</v>
      </c>
      <c r="BM51" t="s">
        <v>738</v>
      </c>
      <c r="BN51" t="s">
        <v>74</v>
      </c>
      <c r="BO51" t="s">
        <v>74</v>
      </c>
      <c r="BP51" t="s">
        <v>74</v>
      </c>
      <c r="BQ51" t="s">
        <v>74</v>
      </c>
      <c r="BR51" t="s">
        <v>101</v>
      </c>
      <c r="BS51" t="s">
        <v>922</v>
      </c>
      <c r="BT51" t="str">
        <f>HYPERLINK("https%3A%2F%2Fwww.webofscience.com%2Fwos%2Fwoscc%2Ffull-record%2FWOS:000240614400017","View Full Record in Web of Science")</f>
        <v>View Full Record in Web of Science</v>
      </c>
    </row>
    <row r="52" spans="1:72" x14ac:dyDescent="0.15">
      <c r="A52" t="s">
        <v>72</v>
      </c>
      <c r="B52" t="s">
        <v>923</v>
      </c>
      <c r="C52" t="s">
        <v>74</v>
      </c>
      <c r="D52" t="s">
        <v>74</v>
      </c>
      <c r="E52" t="s">
        <v>74</v>
      </c>
      <c r="F52" t="s">
        <v>924</v>
      </c>
      <c r="G52" t="s">
        <v>74</v>
      </c>
      <c r="H52" t="s">
        <v>74</v>
      </c>
      <c r="I52" t="s">
        <v>925</v>
      </c>
      <c r="J52" t="s">
        <v>634</v>
      </c>
      <c r="K52" t="s">
        <v>74</v>
      </c>
      <c r="L52" t="s">
        <v>74</v>
      </c>
      <c r="M52" t="s">
        <v>77</v>
      </c>
      <c r="N52" t="s">
        <v>78</v>
      </c>
      <c r="O52" t="s">
        <v>74</v>
      </c>
      <c r="P52" t="s">
        <v>74</v>
      </c>
      <c r="Q52" t="s">
        <v>74</v>
      </c>
      <c r="R52" t="s">
        <v>74</v>
      </c>
      <c r="S52" t="s">
        <v>74</v>
      </c>
      <c r="T52" t="s">
        <v>926</v>
      </c>
      <c r="U52" t="s">
        <v>927</v>
      </c>
      <c r="V52" t="s">
        <v>928</v>
      </c>
      <c r="W52" t="s">
        <v>929</v>
      </c>
      <c r="X52" t="s">
        <v>788</v>
      </c>
      <c r="Y52" t="s">
        <v>930</v>
      </c>
      <c r="Z52" t="s">
        <v>931</v>
      </c>
      <c r="AA52" t="s">
        <v>932</v>
      </c>
      <c r="AB52" t="s">
        <v>933</v>
      </c>
      <c r="AC52" t="s">
        <v>934</v>
      </c>
      <c r="AD52" t="s">
        <v>720</v>
      </c>
      <c r="AE52" t="s">
        <v>74</v>
      </c>
      <c r="AF52" t="s">
        <v>74</v>
      </c>
      <c r="AG52">
        <v>46</v>
      </c>
      <c r="AH52">
        <v>74</v>
      </c>
      <c r="AI52">
        <v>90</v>
      </c>
      <c r="AJ52">
        <v>1</v>
      </c>
      <c r="AK52">
        <v>27</v>
      </c>
      <c r="AL52" t="s">
        <v>622</v>
      </c>
      <c r="AM52" t="s">
        <v>140</v>
      </c>
      <c r="AN52" t="s">
        <v>623</v>
      </c>
      <c r="AO52" t="s">
        <v>646</v>
      </c>
      <c r="AP52" t="s">
        <v>680</v>
      </c>
      <c r="AQ52" t="s">
        <v>74</v>
      </c>
      <c r="AR52" t="s">
        <v>647</v>
      </c>
      <c r="AS52" t="s">
        <v>648</v>
      </c>
      <c r="AT52" t="s">
        <v>74</v>
      </c>
      <c r="AU52">
        <v>2006</v>
      </c>
      <c r="AV52">
        <v>53</v>
      </c>
      <c r="AW52" t="s">
        <v>736</v>
      </c>
      <c r="AX52" t="s">
        <v>74</v>
      </c>
      <c r="AY52" t="s">
        <v>74</v>
      </c>
      <c r="AZ52" t="s">
        <v>74</v>
      </c>
      <c r="BA52" t="s">
        <v>74</v>
      </c>
      <c r="BB52">
        <v>1053</v>
      </c>
      <c r="BC52">
        <v>1060</v>
      </c>
      <c r="BD52" t="s">
        <v>74</v>
      </c>
      <c r="BE52" t="s">
        <v>935</v>
      </c>
      <c r="BF52" t="str">
        <f>HYPERLINK("http://dx.doi.org/10.1016/j.dsr2.2006.02.013","http://dx.doi.org/10.1016/j.dsr2.2006.02.013")</f>
        <v>http://dx.doi.org/10.1016/j.dsr2.2006.02.013</v>
      </c>
      <c r="BG52" t="s">
        <v>74</v>
      </c>
      <c r="BH52" t="s">
        <v>74</v>
      </c>
      <c r="BI52">
        <v>8</v>
      </c>
      <c r="BJ52" t="s">
        <v>629</v>
      </c>
      <c r="BK52" t="s">
        <v>98</v>
      </c>
      <c r="BL52" t="s">
        <v>629</v>
      </c>
      <c r="BM52" t="s">
        <v>738</v>
      </c>
      <c r="BN52" t="s">
        <v>74</v>
      </c>
      <c r="BO52" t="s">
        <v>74</v>
      </c>
      <c r="BP52" t="s">
        <v>74</v>
      </c>
      <c r="BQ52" t="s">
        <v>74</v>
      </c>
      <c r="BR52" t="s">
        <v>101</v>
      </c>
      <c r="BS52" t="s">
        <v>936</v>
      </c>
      <c r="BT52" t="str">
        <f>HYPERLINK("https%3A%2F%2Fwww.webofscience.com%2Fwos%2Fwoscc%2Ffull-record%2FWOS:000240614400018","View Full Record in Web of Science")</f>
        <v>View Full Record in Web of Science</v>
      </c>
    </row>
    <row r="53" spans="1:72" x14ac:dyDescent="0.15">
      <c r="A53" t="s">
        <v>72</v>
      </c>
      <c r="B53" t="s">
        <v>937</v>
      </c>
      <c r="C53" t="s">
        <v>74</v>
      </c>
      <c r="D53" t="s">
        <v>74</v>
      </c>
      <c r="E53" t="s">
        <v>74</v>
      </c>
      <c r="F53" t="s">
        <v>938</v>
      </c>
      <c r="G53" t="s">
        <v>74</v>
      </c>
      <c r="H53" t="s">
        <v>74</v>
      </c>
      <c r="I53" t="s">
        <v>939</v>
      </c>
      <c r="J53" t="s">
        <v>634</v>
      </c>
      <c r="K53" t="s">
        <v>74</v>
      </c>
      <c r="L53" t="s">
        <v>74</v>
      </c>
      <c r="M53" t="s">
        <v>77</v>
      </c>
      <c r="N53" t="s">
        <v>78</v>
      </c>
      <c r="O53" t="s">
        <v>74</v>
      </c>
      <c r="P53" t="s">
        <v>74</v>
      </c>
      <c r="Q53" t="s">
        <v>74</v>
      </c>
      <c r="R53" t="s">
        <v>74</v>
      </c>
      <c r="S53" t="s">
        <v>74</v>
      </c>
      <c r="T53" t="s">
        <v>940</v>
      </c>
      <c r="U53" t="s">
        <v>941</v>
      </c>
      <c r="V53" t="s">
        <v>942</v>
      </c>
      <c r="W53" t="s">
        <v>943</v>
      </c>
      <c r="X53" t="s">
        <v>944</v>
      </c>
      <c r="Y53" t="s">
        <v>945</v>
      </c>
      <c r="Z53" t="s">
        <v>946</v>
      </c>
      <c r="AA53" t="s">
        <v>947</v>
      </c>
      <c r="AB53" t="s">
        <v>948</v>
      </c>
      <c r="AC53" t="s">
        <v>74</v>
      </c>
      <c r="AD53" t="s">
        <v>74</v>
      </c>
      <c r="AE53" t="s">
        <v>74</v>
      </c>
      <c r="AF53" t="s">
        <v>74</v>
      </c>
      <c r="AG53">
        <v>36</v>
      </c>
      <c r="AH53">
        <v>11</v>
      </c>
      <c r="AI53">
        <v>11</v>
      </c>
      <c r="AJ53">
        <v>2</v>
      </c>
      <c r="AK53">
        <v>6</v>
      </c>
      <c r="AL53" t="s">
        <v>622</v>
      </c>
      <c r="AM53" t="s">
        <v>140</v>
      </c>
      <c r="AN53" t="s">
        <v>623</v>
      </c>
      <c r="AO53" t="s">
        <v>646</v>
      </c>
      <c r="AP53" t="s">
        <v>74</v>
      </c>
      <c r="AQ53" t="s">
        <v>74</v>
      </c>
      <c r="AR53" t="s">
        <v>647</v>
      </c>
      <c r="AS53" t="s">
        <v>648</v>
      </c>
      <c r="AT53" t="s">
        <v>74</v>
      </c>
      <c r="AU53">
        <v>2006</v>
      </c>
      <c r="AV53">
        <v>53</v>
      </c>
      <c r="AW53" t="s">
        <v>736</v>
      </c>
      <c r="AX53" t="s">
        <v>74</v>
      </c>
      <c r="AY53" t="s">
        <v>74</v>
      </c>
      <c r="AZ53" t="s">
        <v>74</v>
      </c>
      <c r="BA53" t="s">
        <v>74</v>
      </c>
      <c r="BB53">
        <v>1061</v>
      </c>
      <c r="BC53">
        <v>1070</v>
      </c>
      <c r="BD53" t="s">
        <v>74</v>
      </c>
      <c r="BE53" t="s">
        <v>949</v>
      </c>
      <c r="BF53" t="str">
        <f>HYPERLINK("http://dx.doi.org/10.1016/j.dsr2.2006.05.002","http://dx.doi.org/10.1016/j.dsr2.2006.05.002")</f>
        <v>http://dx.doi.org/10.1016/j.dsr2.2006.05.002</v>
      </c>
      <c r="BG53" t="s">
        <v>74</v>
      </c>
      <c r="BH53" t="s">
        <v>74</v>
      </c>
      <c r="BI53">
        <v>10</v>
      </c>
      <c r="BJ53" t="s">
        <v>629</v>
      </c>
      <c r="BK53" t="s">
        <v>98</v>
      </c>
      <c r="BL53" t="s">
        <v>629</v>
      </c>
      <c r="BM53" t="s">
        <v>738</v>
      </c>
      <c r="BN53" t="s">
        <v>74</v>
      </c>
      <c r="BO53" t="s">
        <v>74</v>
      </c>
      <c r="BP53" t="s">
        <v>74</v>
      </c>
      <c r="BQ53" t="s">
        <v>74</v>
      </c>
      <c r="BR53" t="s">
        <v>101</v>
      </c>
      <c r="BS53" t="s">
        <v>950</v>
      </c>
      <c r="BT53" t="str">
        <f>HYPERLINK("https%3A%2F%2Fwww.webofscience.com%2Fwos%2Fwoscc%2Ffull-record%2FWOS:000240614400019","View Full Record in Web of Science")</f>
        <v>View Full Record in Web of Science</v>
      </c>
    </row>
    <row r="54" spans="1:72" x14ac:dyDescent="0.15">
      <c r="A54" t="s">
        <v>72</v>
      </c>
      <c r="B54" t="s">
        <v>951</v>
      </c>
      <c r="C54" t="s">
        <v>74</v>
      </c>
      <c r="D54" t="s">
        <v>74</v>
      </c>
      <c r="E54" t="s">
        <v>74</v>
      </c>
      <c r="F54" t="s">
        <v>952</v>
      </c>
      <c r="G54" t="s">
        <v>74</v>
      </c>
      <c r="H54" t="s">
        <v>74</v>
      </c>
      <c r="I54" t="s">
        <v>953</v>
      </c>
      <c r="J54" t="s">
        <v>634</v>
      </c>
      <c r="K54" t="s">
        <v>74</v>
      </c>
      <c r="L54" t="s">
        <v>74</v>
      </c>
      <c r="M54" t="s">
        <v>77</v>
      </c>
      <c r="N54" t="s">
        <v>289</v>
      </c>
      <c r="O54" t="s">
        <v>74</v>
      </c>
      <c r="P54" t="s">
        <v>74</v>
      </c>
      <c r="Q54" t="s">
        <v>74</v>
      </c>
      <c r="R54" t="s">
        <v>74</v>
      </c>
      <c r="S54" t="s">
        <v>74</v>
      </c>
      <c r="T54" t="s">
        <v>954</v>
      </c>
      <c r="U54" t="s">
        <v>955</v>
      </c>
      <c r="V54" t="s">
        <v>956</v>
      </c>
      <c r="W54" t="s">
        <v>957</v>
      </c>
      <c r="X54" t="s">
        <v>426</v>
      </c>
      <c r="Y54" t="s">
        <v>958</v>
      </c>
      <c r="Z54" t="s">
        <v>959</v>
      </c>
      <c r="AA54" t="s">
        <v>960</v>
      </c>
      <c r="AB54" t="s">
        <v>961</v>
      </c>
      <c r="AC54" t="s">
        <v>74</v>
      </c>
      <c r="AD54" t="s">
        <v>74</v>
      </c>
      <c r="AE54" t="s">
        <v>74</v>
      </c>
      <c r="AF54" t="s">
        <v>74</v>
      </c>
      <c r="AG54">
        <v>202</v>
      </c>
      <c r="AH54">
        <v>126</v>
      </c>
      <c r="AI54">
        <v>136</v>
      </c>
      <c r="AJ54">
        <v>3</v>
      </c>
      <c r="AK54">
        <v>120</v>
      </c>
      <c r="AL54" t="s">
        <v>622</v>
      </c>
      <c r="AM54" t="s">
        <v>140</v>
      </c>
      <c r="AN54" t="s">
        <v>623</v>
      </c>
      <c r="AO54" t="s">
        <v>646</v>
      </c>
      <c r="AP54" t="s">
        <v>680</v>
      </c>
      <c r="AQ54" t="s">
        <v>74</v>
      </c>
      <c r="AR54" t="s">
        <v>647</v>
      </c>
      <c r="AS54" t="s">
        <v>648</v>
      </c>
      <c r="AT54" t="s">
        <v>74</v>
      </c>
      <c r="AU54">
        <v>2006</v>
      </c>
      <c r="AV54">
        <v>53</v>
      </c>
      <c r="AW54" t="s">
        <v>736</v>
      </c>
      <c r="AX54" t="s">
        <v>74</v>
      </c>
      <c r="AY54" t="s">
        <v>74</v>
      </c>
      <c r="AZ54" t="s">
        <v>74</v>
      </c>
      <c r="BA54" t="s">
        <v>74</v>
      </c>
      <c r="BB54">
        <v>1071</v>
      </c>
      <c r="BC54">
        <v>1104</v>
      </c>
      <c r="BD54" t="s">
        <v>74</v>
      </c>
      <c r="BE54" t="s">
        <v>962</v>
      </c>
      <c r="BF54" t="str">
        <f>HYPERLINK("http://dx.doi.org/10.1016/j.dsr2.2006.02.015","http://dx.doi.org/10.1016/j.dsr2.2006.02.015")</f>
        <v>http://dx.doi.org/10.1016/j.dsr2.2006.02.015</v>
      </c>
      <c r="BG54" t="s">
        <v>74</v>
      </c>
      <c r="BH54" t="s">
        <v>74</v>
      </c>
      <c r="BI54">
        <v>34</v>
      </c>
      <c r="BJ54" t="s">
        <v>629</v>
      </c>
      <c r="BK54" t="s">
        <v>98</v>
      </c>
      <c r="BL54" t="s">
        <v>629</v>
      </c>
      <c r="BM54" t="s">
        <v>738</v>
      </c>
      <c r="BN54" t="s">
        <v>74</v>
      </c>
      <c r="BO54" t="s">
        <v>74</v>
      </c>
      <c r="BP54" t="s">
        <v>74</v>
      </c>
      <c r="BQ54" t="s">
        <v>74</v>
      </c>
      <c r="BR54" t="s">
        <v>101</v>
      </c>
      <c r="BS54" t="s">
        <v>963</v>
      </c>
      <c r="BT54" t="str">
        <f>HYPERLINK("https%3A%2F%2Fwww.webofscience.com%2Fwos%2Fwoscc%2Ffull-record%2FWOS:000240614400020","View Full Record in Web of Science")</f>
        <v>View Full Record in Web of Science</v>
      </c>
    </row>
    <row r="55" spans="1:72" x14ac:dyDescent="0.15">
      <c r="A55" t="s">
        <v>72</v>
      </c>
      <c r="B55" t="s">
        <v>964</v>
      </c>
      <c r="C55" t="s">
        <v>74</v>
      </c>
      <c r="D55" t="s">
        <v>74</v>
      </c>
      <c r="E55" t="s">
        <v>74</v>
      </c>
      <c r="F55" t="s">
        <v>965</v>
      </c>
      <c r="G55" t="s">
        <v>74</v>
      </c>
      <c r="H55" t="s">
        <v>74</v>
      </c>
      <c r="I55" t="s">
        <v>966</v>
      </c>
      <c r="J55" t="s">
        <v>634</v>
      </c>
      <c r="K55" t="s">
        <v>74</v>
      </c>
      <c r="L55" t="s">
        <v>74</v>
      </c>
      <c r="M55" t="s">
        <v>77</v>
      </c>
      <c r="N55" t="s">
        <v>78</v>
      </c>
      <c r="O55" t="s">
        <v>74</v>
      </c>
      <c r="P55" t="s">
        <v>74</v>
      </c>
      <c r="Q55" t="s">
        <v>74</v>
      </c>
      <c r="R55" t="s">
        <v>74</v>
      </c>
      <c r="S55" t="s">
        <v>74</v>
      </c>
      <c r="T55" t="s">
        <v>967</v>
      </c>
      <c r="U55" t="s">
        <v>968</v>
      </c>
      <c r="V55" t="s">
        <v>969</v>
      </c>
      <c r="W55" t="s">
        <v>970</v>
      </c>
      <c r="X55" t="s">
        <v>971</v>
      </c>
      <c r="Y55" t="s">
        <v>972</v>
      </c>
      <c r="Z55" t="s">
        <v>973</v>
      </c>
      <c r="AA55" t="s">
        <v>74</v>
      </c>
      <c r="AB55" t="s">
        <v>974</v>
      </c>
      <c r="AC55" t="s">
        <v>74</v>
      </c>
      <c r="AD55" t="s">
        <v>74</v>
      </c>
      <c r="AE55" t="s">
        <v>74</v>
      </c>
      <c r="AF55" t="s">
        <v>74</v>
      </c>
      <c r="AG55">
        <v>44</v>
      </c>
      <c r="AH55">
        <v>4</v>
      </c>
      <c r="AI55">
        <v>4</v>
      </c>
      <c r="AJ55">
        <v>1</v>
      </c>
      <c r="AK55">
        <v>9</v>
      </c>
      <c r="AL55" t="s">
        <v>622</v>
      </c>
      <c r="AM55" t="s">
        <v>140</v>
      </c>
      <c r="AN55" t="s">
        <v>623</v>
      </c>
      <c r="AO55" t="s">
        <v>646</v>
      </c>
      <c r="AP55" t="s">
        <v>74</v>
      </c>
      <c r="AQ55" t="s">
        <v>74</v>
      </c>
      <c r="AR55" t="s">
        <v>647</v>
      </c>
      <c r="AS55" t="s">
        <v>648</v>
      </c>
      <c r="AT55" t="s">
        <v>74</v>
      </c>
      <c r="AU55">
        <v>2006</v>
      </c>
      <c r="AV55">
        <v>53</v>
      </c>
      <c r="AW55" t="s">
        <v>736</v>
      </c>
      <c r="AX55" t="s">
        <v>74</v>
      </c>
      <c r="AY55" t="s">
        <v>74</v>
      </c>
      <c r="AZ55" t="s">
        <v>74</v>
      </c>
      <c r="BA55" t="s">
        <v>74</v>
      </c>
      <c r="BB55">
        <v>1105</v>
      </c>
      <c r="BC55">
        <v>1114</v>
      </c>
      <c r="BD55" t="s">
        <v>74</v>
      </c>
      <c r="BE55" t="s">
        <v>975</v>
      </c>
      <c r="BF55" t="str">
        <f>HYPERLINK("http://dx.doi.org/10.1016/j.dsr2.2006.03.005","http://dx.doi.org/10.1016/j.dsr2.2006.03.005")</f>
        <v>http://dx.doi.org/10.1016/j.dsr2.2006.03.005</v>
      </c>
      <c r="BG55" t="s">
        <v>74</v>
      </c>
      <c r="BH55" t="s">
        <v>74</v>
      </c>
      <c r="BI55">
        <v>10</v>
      </c>
      <c r="BJ55" t="s">
        <v>629</v>
      </c>
      <c r="BK55" t="s">
        <v>98</v>
      </c>
      <c r="BL55" t="s">
        <v>629</v>
      </c>
      <c r="BM55" t="s">
        <v>738</v>
      </c>
      <c r="BN55" t="s">
        <v>74</v>
      </c>
      <c r="BO55" t="s">
        <v>74</v>
      </c>
      <c r="BP55" t="s">
        <v>74</v>
      </c>
      <c r="BQ55" t="s">
        <v>74</v>
      </c>
      <c r="BR55" t="s">
        <v>101</v>
      </c>
      <c r="BS55" t="s">
        <v>976</v>
      </c>
      <c r="BT55" t="str">
        <f>HYPERLINK("https%3A%2F%2Fwww.webofscience.com%2Fwos%2Fwoscc%2Ffull-record%2FWOS:000240614400021","View Full Record in Web of Science")</f>
        <v>View Full Record in Web of Science</v>
      </c>
    </row>
    <row r="56" spans="1:72" x14ac:dyDescent="0.15">
      <c r="A56" t="s">
        <v>72</v>
      </c>
      <c r="B56" t="s">
        <v>977</v>
      </c>
      <c r="C56" t="s">
        <v>74</v>
      </c>
      <c r="D56" t="s">
        <v>74</v>
      </c>
      <c r="E56" t="s">
        <v>74</v>
      </c>
      <c r="F56" t="s">
        <v>978</v>
      </c>
      <c r="G56" t="s">
        <v>74</v>
      </c>
      <c r="H56" t="s">
        <v>74</v>
      </c>
      <c r="I56" t="s">
        <v>979</v>
      </c>
      <c r="J56" t="s">
        <v>634</v>
      </c>
      <c r="K56" t="s">
        <v>74</v>
      </c>
      <c r="L56" t="s">
        <v>74</v>
      </c>
      <c r="M56" t="s">
        <v>77</v>
      </c>
      <c r="N56" t="s">
        <v>78</v>
      </c>
      <c r="O56" t="s">
        <v>74</v>
      </c>
      <c r="P56" t="s">
        <v>74</v>
      </c>
      <c r="Q56" t="s">
        <v>74</v>
      </c>
      <c r="R56" t="s">
        <v>74</v>
      </c>
      <c r="S56" t="s">
        <v>74</v>
      </c>
      <c r="T56" t="s">
        <v>980</v>
      </c>
      <c r="U56" t="s">
        <v>981</v>
      </c>
      <c r="V56" t="s">
        <v>982</v>
      </c>
      <c r="W56" t="s">
        <v>983</v>
      </c>
      <c r="X56" t="s">
        <v>984</v>
      </c>
      <c r="Y56" t="s">
        <v>985</v>
      </c>
      <c r="Z56" t="s">
        <v>986</v>
      </c>
      <c r="AA56" t="s">
        <v>74</v>
      </c>
      <c r="AB56" t="s">
        <v>987</v>
      </c>
      <c r="AC56" t="s">
        <v>74</v>
      </c>
      <c r="AD56" t="s">
        <v>74</v>
      </c>
      <c r="AE56" t="s">
        <v>74</v>
      </c>
      <c r="AF56" t="s">
        <v>74</v>
      </c>
      <c r="AG56">
        <v>58</v>
      </c>
      <c r="AH56">
        <v>12</v>
      </c>
      <c r="AI56">
        <v>14</v>
      </c>
      <c r="AJ56">
        <v>1</v>
      </c>
      <c r="AK56">
        <v>7</v>
      </c>
      <c r="AL56" t="s">
        <v>622</v>
      </c>
      <c r="AM56" t="s">
        <v>140</v>
      </c>
      <c r="AN56" t="s">
        <v>623</v>
      </c>
      <c r="AO56" t="s">
        <v>646</v>
      </c>
      <c r="AP56" t="s">
        <v>680</v>
      </c>
      <c r="AQ56" t="s">
        <v>74</v>
      </c>
      <c r="AR56" t="s">
        <v>647</v>
      </c>
      <c r="AS56" t="s">
        <v>648</v>
      </c>
      <c r="AT56" t="s">
        <v>74</v>
      </c>
      <c r="AU56">
        <v>2006</v>
      </c>
      <c r="AV56">
        <v>53</v>
      </c>
      <c r="AW56" t="s">
        <v>736</v>
      </c>
      <c r="AX56" t="s">
        <v>74</v>
      </c>
      <c r="AY56" t="s">
        <v>74</v>
      </c>
      <c r="AZ56" t="s">
        <v>74</v>
      </c>
      <c r="BA56" t="s">
        <v>74</v>
      </c>
      <c r="BB56">
        <v>1115</v>
      </c>
      <c r="BC56">
        <v>1130</v>
      </c>
      <c r="BD56" t="s">
        <v>74</v>
      </c>
      <c r="BE56" t="s">
        <v>988</v>
      </c>
      <c r="BF56" t="str">
        <f>HYPERLINK("http://dx.doi.org/10.1016/j.dsr2.2006.03.007","http://dx.doi.org/10.1016/j.dsr2.2006.03.007")</f>
        <v>http://dx.doi.org/10.1016/j.dsr2.2006.03.007</v>
      </c>
      <c r="BG56" t="s">
        <v>74</v>
      </c>
      <c r="BH56" t="s">
        <v>74</v>
      </c>
      <c r="BI56">
        <v>16</v>
      </c>
      <c r="BJ56" t="s">
        <v>629</v>
      </c>
      <c r="BK56" t="s">
        <v>98</v>
      </c>
      <c r="BL56" t="s">
        <v>629</v>
      </c>
      <c r="BM56" t="s">
        <v>738</v>
      </c>
      <c r="BN56" t="s">
        <v>74</v>
      </c>
      <c r="BO56" t="s">
        <v>74</v>
      </c>
      <c r="BP56" t="s">
        <v>74</v>
      </c>
      <c r="BQ56" t="s">
        <v>74</v>
      </c>
      <c r="BR56" t="s">
        <v>101</v>
      </c>
      <c r="BS56" t="s">
        <v>989</v>
      </c>
      <c r="BT56" t="str">
        <f>HYPERLINK("https%3A%2F%2Fwww.webofscience.com%2Fwos%2Fwoscc%2Ffull-record%2FWOS:000240614400022","View Full Record in Web of Science")</f>
        <v>View Full Record in Web of Science</v>
      </c>
    </row>
    <row r="57" spans="1:72" x14ac:dyDescent="0.15">
      <c r="A57" t="s">
        <v>72</v>
      </c>
      <c r="B57" t="s">
        <v>990</v>
      </c>
      <c r="C57" t="s">
        <v>74</v>
      </c>
      <c r="D57" t="s">
        <v>74</v>
      </c>
      <c r="E57" t="s">
        <v>74</v>
      </c>
      <c r="F57" t="s">
        <v>991</v>
      </c>
      <c r="G57" t="s">
        <v>74</v>
      </c>
      <c r="H57" t="s">
        <v>74</v>
      </c>
      <c r="I57" t="s">
        <v>992</v>
      </c>
      <c r="J57" t="s">
        <v>634</v>
      </c>
      <c r="K57" t="s">
        <v>74</v>
      </c>
      <c r="L57" t="s">
        <v>74</v>
      </c>
      <c r="M57" t="s">
        <v>77</v>
      </c>
      <c r="N57" t="s">
        <v>78</v>
      </c>
      <c r="O57" t="s">
        <v>74</v>
      </c>
      <c r="P57" t="s">
        <v>74</v>
      </c>
      <c r="Q57" t="s">
        <v>74</v>
      </c>
      <c r="R57" t="s">
        <v>74</v>
      </c>
      <c r="S57" t="s">
        <v>74</v>
      </c>
      <c r="T57" t="s">
        <v>993</v>
      </c>
      <c r="U57" t="s">
        <v>994</v>
      </c>
      <c r="V57" t="s">
        <v>995</v>
      </c>
      <c r="W57" t="s">
        <v>957</v>
      </c>
      <c r="X57" t="s">
        <v>426</v>
      </c>
      <c r="Y57" t="s">
        <v>996</v>
      </c>
      <c r="Z57" t="s">
        <v>997</v>
      </c>
      <c r="AA57" t="s">
        <v>998</v>
      </c>
      <c r="AB57" t="s">
        <v>999</v>
      </c>
      <c r="AC57" t="s">
        <v>74</v>
      </c>
      <c r="AD57" t="s">
        <v>74</v>
      </c>
      <c r="AE57" t="s">
        <v>74</v>
      </c>
      <c r="AF57" t="s">
        <v>74</v>
      </c>
      <c r="AG57">
        <v>52</v>
      </c>
      <c r="AH57">
        <v>15</v>
      </c>
      <c r="AI57">
        <v>16</v>
      </c>
      <c r="AJ57">
        <v>0</v>
      </c>
      <c r="AK57">
        <v>11</v>
      </c>
      <c r="AL57" t="s">
        <v>622</v>
      </c>
      <c r="AM57" t="s">
        <v>140</v>
      </c>
      <c r="AN57" t="s">
        <v>623</v>
      </c>
      <c r="AO57" t="s">
        <v>646</v>
      </c>
      <c r="AP57" t="s">
        <v>680</v>
      </c>
      <c r="AQ57" t="s">
        <v>74</v>
      </c>
      <c r="AR57" t="s">
        <v>647</v>
      </c>
      <c r="AS57" t="s">
        <v>648</v>
      </c>
      <c r="AT57" t="s">
        <v>74</v>
      </c>
      <c r="AU57">
        <v>2006</v>
      </c>
      <c r="AV57">
        <v>53</v>
      </c>
      <c r="AW57" t="s">
        <v>736</v>
      </c>
      <c r="AX57" t="s">
        <v>74</v>
      </c>
      <c r="AY57" t="s">
        <v>74</v>
      </c>
      <c r="AZ57" t="s">
        <v>74</v>
      </c>
      <c r="BA57" t="s">
        <v>74</v>
      </c>
      <c r="BB57">
        <v>1131</v>
      </c>
      <c r="BC57">
        <v>1140</v>
      </c>
      <c r="BD57" t="s">
        <v>74</v>
      </c>
      <c r="BE57" t="s">
        <v>1000</v>
      </c>
      <c r="BF57" t="str">
        <f>HYPERLINK("http://dx.doi.org/10.1016/j.dsr2.2006.02.011","http://dx.doi.org/10.1016/j.dsr2.2006.02.011")</f>
        <v>http://dx.doi.org/10.1016/j.dsr2.2006.02.011</v>
      </c>
      <c r="BG57" t="s">
        <v>74</v>
      </c>
      <c r="BH57" t="s">
        <v>74</v>
      </c>
      <c r="BI57">
        <v>10</v>
      </c>
      <c r="BJ57" t="s">
        <v>629</v>
      </c>
      <c r="BK57" t="s">
        <v>98</v>
      </c>
      <c r="BL57" t="s">
        <v>629</v>
      </c>
      <c r="BM57" t="s">
        <v>738</v>
      </c>
      <c r="BN57" t="s">
        <v>74</v>
      </c>
      <c r="BO57" t="s">
        <v>534</v>
      </c>
      <c r="BP57" t="s">
        <v>74</v>
      </c>
      <c r="BQ57" t="s">
        <v>74</v>
      </c>
      <c r="BR57" t="s">
        <v>101</v>
      </c>
      <c r="BS57" t="s">
        <v>1001</v>
      </c>
      <c r="BT57" t="str">
        <f>HYPERLINK("https%3A%2F%2Fwww.webofscience.com%2Fwos%2Fwoscc%2Ffull-record%2FWOS:000240614400023","View Full Record in Web of Science")</f>
        <v>View Full Record in Web of Science</v>
      </c>
    </row>
    <row r="58" spans="1:72" x14ac:dyDescent="0.15">
      <c r="A58" t="s">
        <v>72</v>
      </c>
      <c r="B58" t="s">
        <v>1002</v>
      </c>
      <c r="C58" t="s">
        <v>74</v>
      </c>
      <c r="D58" t="s">
        <v>74</v>
      </c>
      <c r="E58" t="s">
        <v>74</v>
      </c>
      <c r="F58" t="s">
        <v>1003</v>
      </c>
      <c r="G58" t="s">
        <v>74</v>
      </c>
      <c r="H58" t="s">
        <v>74</v>
      </c>
      <c r="I58" t="s">
        <v>1004</v>
      </c>
      <c r="J58" t="s">
        <v>634</v>
      </c>
      <c r="K58" t="s">
        <v>74</v>
      </c>
      <c r="L58" t="s">
        <v>74</v>
      </c>
      <c r="M58" t="s">
        <v>77</v>
      </c>
      <c r="N58" t="s">
        <v>78</v>
      </c>
      <c r="O58" t="s">
        <v>74</v>
      </c>
      <c r="P58" t="s">
        <v>74</v>
      </c>
      <c r="Q58" t="s">
        <v>74</v>
      </c>
      <c r="R58" t="s">
        <v>74</v>
      </c>
      <c r="S58" t="s">
        <v>74</v>
      </c>
      <c r="T58" t="s">
        <v>1005</v>
      </c>
      <c r="U58" t="s">
        <v>1006</v>
      </c>
      <c r="V58" t="s">
        <v>1007</v>
      </c>
      <c r="W58" t="s">
        <v>1008</v>
      </c>
      <c r="X58" t="s">
        <v>1009</v>
      </c>
      <c r="Y58" t="s">
        <v>1010</v>
      </c>
      <c r="Z58" t="s">
        <v>1011</v>
      </c>
      <c r="AA58" t="s">
        <v>1012</v>
      </c>
      <c r="AB58" t="s">
        <v>1013</v>
      </c>
      <c r="AC58" t="s">
        <v>1014</v>
      </c>
      <c r="AD58" t="s">
        <v>1015</v>
      </c>
      <c r="AE58" t="s">
        <v>74</v>
      </c>
      <c r="AF58" t="s">
        <v>74</v>
      </c>
      <c r="AG58">
        <v>67</v>
      </c>
      <c r="AH58">
        <v>41</v>
      </c>
      <c r="AI58">
        <v>42</v>
      </c>
      <c r="AJ58">
        <v>1</v>
      </c>
      <c r="AK58">
        <v>23</v>
      </c>
      <c r="AL58" t="s">
        <v>622</v>
      </c>
      <c r="AM58" t="s">
        <v>140</v>
      </c>
      <c r="AN58" t="s">
        <v>623</v>
      </c>
      <c r="AO58" t="s">
        <v>646</v>
      </c>
      <c r="AP58" t="s">
        <v>74</v>
      </c>
      <c r="AQ58" t="s">
        <v>74</v>
      </c>
      <c r="AR58" t="s">
        <v>647</v>
      </c>
      <c r="AS58" t="s">
        <v>648</v>
      </c>
      <c r="AT58" t="s">
        <v>74</v>
      </c>
      <c r="AU58">
        <v>2006</v>
      </c>
      <c r="AV58">
        <v>53</v>
      </c>
      <c r="AW58" t="s">
        <v>1016</v>
      </c>
      <c r="AX58" t="s">
        <v>74</v>
      </c>
      <c r="AY58" t="s">
        <v>74</v>
      </c>
      <c r="AZ58" t="s">
        <v>74</v>
      </c>
      <c r="BA58" t="s">
        <v>74</v>
      </c>
      <c r="BB58">
        <v>1629</v>
      </c>
      <c r="BC58">
        <v>1648</v>
      </c>
      <c r="BD58" t="s">
        <v>74</v>
      </c>
      <c r="BE58" t="s">
        <v>1017</v>
      </c>
      <c r="BF58" t="str">
        <f>HYPERLINK("http://dx.doi.org/10.1016/j.dsr2.2006.05.018","http://dx.doi.org/10.1016/j.dsr2.2006.05.018")</f>
        <v>http://dx.doi.org/10.1016/j.dsr2.2006.05.018</v>
      </c>
      <c r="BG58" t="s">
        <v>74</v>
      </c>
      <c r="BH58" t="s">
        <v>74</v>
      </c>
      <c r="BI58">
        <v>20</v>
      </c>
      <c r="BJ58" t="s">
        <v>629</v>
      </c>
      <c r="BK58" t="s">
        <v>98</v>
      </c>
      <c r="BL58" t="s">
        <v>629</v>
      </c>
      <c r="BM58" t="s">
        <v>1018</v>
      </c>
      <c r="BN58" t="s">
        <v>74</v>
      </c>
      <c r="BO58" t="s">
        <v>74</v>
      </c>
      <c r="BP58" t="s">
        <v>74</v>
      </c>
      <c r="BQ58" t="s">
        <v>74</v>
      </c>
      <c r="BR58" t="s">
        <v>101</v>
      </c>
      <c r="BS58" t="s">
        <v>1019</v>
      </c>
      <c r="BT58" t="str">
        <f>HYPERLINK("https%3A%2F%2Fwww.webofscience.com%2Fwos%2Fwoscc%2Ffull-record%2FWOS:000241824600010","View Full Record in Web of Science")</f>
        <v>View Full Record in Web of Science</v>
      </c>
    </row>
    <row r="59" spans="1:72" x14ac:dyDescent="0.15">
      <c r="A59" t="s">
        <v>72</v>
      </c>
      <c r="B59" t="s">
        <v>1020</v>
      </c>
      <c r="C59" t="s">
        <v>74</v>
      </c>
      <c r="D59" t="s">
        <v>74</v>
      </c>
      <c r="E59" t="s">
        <v>74</v>
      </c>
      <c r="F59" t="s">
        <v>1021</v>
      </c>
      <c r="G59" t="s">
        <v>74</v>
      </c>
      <c r="H59" t="s">
        <v>74</v>
      </c>
      <c r="I59" t="s">
        <v>1022</v>
      </c>
      <c r="J59" t="s">
        <v>634</v>
      </c>
      <c r="K59" t="s">
        <v>74</v>
      </c>
      <c r="L59" t="s">
        <v>74</v>
      </c>
      <c r="M59" t="s">
        <v>77</v>
      </c>
      <c r="N59" t="s">
        <v>78</v>
      </c>
      <c r="O59" t="s">
        <v>74</v>
      </c>
      <c r="P59" t="s">
        <v>74</v>
      </c>
      <c r="Q59" t="s">
        <v>74</v>
      </c>
      <c r="R59" t="s">
        <v>74</v>
      </c>
      <c r="S59" t="s">
        <v>74</v>
      </c>
      <c r="T59" t="s">
        <v>1023</v>
      </c>
      <c r="U59" t="s">
        <v>1024</v>
      </c>
      <c r="V59" t="s">
        <v>1025</v>
      </c>
      <c r="W59" t="s">
        <v>1026</v>
      </c>
      <c r="X59" t="s">
        <v>1027</v>
      </c>
      <c r="Y59" t="s">
        <v>1028</v>
      </c>
      <c r="Z59" t="s">
        <v>1029</v>
      </c>
      <c r="AA59" t="s">
        <v>1030</v>
      </c>
      <c r="AB59" t="s">
        <v>1031</v>
      </c>
      <c r="AC59" t="s">
        <v>74</v>
      </c>
      <c r="AD59" t="s">
        <v>74</v>
      </c>
      <c r="AE59" t="s">
        <v>74</v>
      </c>
      <c r="AF59" t="s">
        <v>74</v>
      </c>
      <c r="AG59">
        <v>44</v>
      </c>
      <c r="AH59">
        <v>8</v>
      </c>
      <c r="AI59">
        <v>10</v>
      </c>
      <c r="AJ59">
        <v>0</v>
      </c>
      <c r="AK59">
        <v>11</v>
      </c>
      <c r="AL59" t="s">
        <v>622</v>
      </c>
      <c r="AM59" t="s">
        <v>140</v>
      </c>
      <c r="AN59" t="s">
        <v>623</v>
      </c>
      <c r="AO59" t="s">
        <v>646</v>
      </c>
      <c r="AP59" t="s">
        <v>74</v>
      </c>
      <c r="AQ59" t="s">
        <v>74</v>
      </c>
      <c r="AR59" t="s">
        <v>647</v>
      </c>
      <c r="AS59" t="s">
        <v>648</v>
      </c>
      <c r="AT59" t="s">
        <v>74</v>
      </c>
      <c r="AU59">
        <v>2006</v>
      </c>
      <c r="AV59">
        <v>53</v>
      </c>
      <c r="AW59" t="s">
        <v>1032</v>
      </c>
      <c r="AX59" t="s">
        <v>74</v>
      </c>
      <c r="AY59" t="s">
        <v>74</v>
      </c>
      <c r="AZ59" t="s">
        <v>74</v>
      </c>
      <c r="BA59" t="s">
        <v>74</v>
      </c>
      <c r="BB59">
        <v>2384</v>
      </c>
      <c r="BC59">
        <v>2397</v>
      </c>
      <c r="BD59" t="s">
        <v>74</v>
      </c>
      <c r="BE59" t="s">
        <v>1033</v>
      </c>
      <c r="BF59" t="str">
        <f>HYPERLINK("http://dx.doi.org/10.1016/j.dsr2.2006.05.024","http://dx.doi.org/10.1016/j.dsr2.2006.05.024")</f>
        <v>http://dx.doi.org/10.1016/j.dsr2.2006.05.024</v>
      </c>
      <c r="BG59" t="s">
        <v>74</v>
      </c>
      <c r="BH59" t="s">
        <v>74</v>
      </c>
      <c r="BI59">
        <v>14</v>
      </c>
      <c r="BJ59" t="s">
        <v>629</v>
      </c>
      <c r="BK59" t="s">
        <v>98</v>
      </c>
      <c r="BL59" t="s">
        <v>629</v>
      </c>
      <c r="BM59" t="s">
        <v>1034</v>
      </c>
      <c r="BN59" t="s">
        <v>74</v>
      </c>
      <c r="BO59" t="s">
        <v>74</v>
      </c>
      <c r="BP59" t="s">
        <v>74</v>
      </c>
      <c r="BQ59" t="s">
        <v>74</v>
      </c>
      <c r="BR59" t="s">
        <v>101</v>
      </c>
      <c r="BS59" t="s">
        <v>1035</v>
      </c>
      <c r="BT59" t="str">
        <f>HYPERLINK("https%3A%2F%2Fwww.webofscience.com%2Fwos%2Fwoscc%2Ffull-record%2FWOS:000243185200022","View Full Record in Web of Science")</f>
        <v>View Full Record in Web of Science</v>
      </c>
    </row>
    <row r="60" spans="1:72" x14ac:dyDescent="0.15">
      <c r="A60" t="s">
        <v>297</v>
      </c>
      <c r="B60" t="s">
        <v>1036</v>
      </c>
      <c r="C60" t="s">
        <v>74</v>
      </c>
      <c r="D60" t="s">
        <v>1037</v>
      </c>
      <c r="E60" t="s">
        <v>74</v>
      </c>
      <c r="F60" t="s">
        <v>1038</v>
      </c>
      <c r="G60" t="s">
        <v>74</v>
      </c>
      <c r="H60" t="s">
        <v>74</v>
      </c>
      <c r="I60" t="s">
        <v>1039</v>
      </c>
      <c r="J60" t="s">
        <v>1040</v>
      </c>
      <c r="K60" t="s">
        <v>1041</v>
      </c>
      <c r="L60" t="s">
        <v>74</v>
      </c>
      <c r="M60" t="s">
        <v>77</v>
      </c>
      <c r="N60" t="s">
        <v>304</v>
      </c>
      <c r="O60" t="s">
        <v>1042</v>
      </c>
      <c r="P60" t="s">
        <v>1043</v>
      </c>
      <c r="Q60" t="s">
        <v>1044</v>
      </c>
      <c r="R60" t="s">
        <v>74</v>
      </c>
      <c r="S60" t="s">
        <v>74</v>
      </c>
      <c r="T60" t="s">
        <v>74</v>
      </c>
      <c r="U60" t="s">
        <v>1045</v>
      </c>
      <c r="V60" t="s">
        <v>1046</v>
      </c>
      <c r="W60" t="s">
        <v>1047</v>
      </c>
      <c r="X60" t="s">
        <v>1048</v>
      </c>
      <c r="Y60" t="s">
        <v>1049</v>
      </c>
      <c r="Z60" t="s">
        <v>74</v>
      </c>
      <c r="AA60" t="s">
        <v>1050</v>
      </c>
      <c r="AB60" t="s">
        <v>1051</v>
      </c>
      <c r="AC60" t="s">
        <v>1052</v>
      </c>
      <c r="AD60" t="s">
        <v>1053</v>
      </c>
      <c r="AE60" t="s">
        <v>1054</v>
      </c>
      <c r="AF60" t="s">
        <v>74</v>
      </c>
      <c r="AG60">
        <v>51</v>
      </c>
      <c r="AH60">
        <v>14</v>
      </c>
      <c r="AI60">
        <v>15</v>
      </c>
      <c r="AJ60">
        <v>0</v>
      </c>
      <c r="AK60">
        <v>2</v>
      </c>
      <c r="AL60" t="s">
        <v>348</v>
      </c>
      <c r="AM60" t="s">
        <v>1055</v>
      </c>
      <c r="AN60" t="s">
        <v>1056</v>
      </c>
      <c r="AO60" t="s">
        <v>74</v>
      </c>
      <c r="AP60" t="s">
        <v>74</v>
      </c>
      <c r="AQ60" t="s">
        <v>1057</v>
      </c>
      <c r="AR60" t="s">
        <v>1058</v>
      </c>
      <c r="AS60" t="s">
        <v>74</v>
      </c>
      <c r="AT60" t="s">
        <v>74</v>
      </c>
      <c r="AU60">
        <v>2006</v>
      </c>
      <c r="AV60" t="s">
        <v>74</v>
      </c>
      <c r="AW60" t="s">
        <v>74</v>
      </c>
      <c r="AX60" t="s">
        <v>74</v>
      </c>
      <c r="AY60" t="s">
        <v>74</v>
      </c>
      <c r="AZ60" t="s">
        <v>74</v>
      </c>
      <c r="BA60" t="s">
        <v>74</v>
      </c>
      <c r="BB60">
        <v>183</v>
      </c>
      <c r="BC60" t="s">
        <v>1059</v>
      </c>
      <c r="BD60" t="s">
        <v>74</v>
      </c>
      <c r="BE60" t="s">
        <v>74</v>
      </c>
      <c r="BF60" t="s">
        <v>74</v>
      </c>
      <c r="BG60" t="s">
        <v>74</v>
      </c>
      <c r="BH60" t="s">
        <v>74</v>
      </c>
      <c r="BI60">
        <v>5</v>
      </c>
      <c r="BJ60" t="s">
        <v>1060</v>
      </c>
      <c r="BK60" t="s">
        <v>328</v>
      </c>
      <c r="BL60" t="s">
        <v>1060</v>
      </c>
      <c r="BM60" t="s">
        <v>1061</v>
      </c>
      <c r="BN60" t="s">
        <v>74</v>
      </c>
      <c r="BO60" t="s">
        <v>74</v>
      </c>
      <c r="BP60" t="s">
        <v>74</v>
      </c>
      <c r="BQ60" t="s">
        <v>74</v>
      </c>
      <c r="BR60" t="s">
        <v>101</v>
      </c>
      <c r="BS60" t="s">
        <v>1062</v>
      </c>
      <c r="BT60" t="str">
        <f>HYPERLINK("https%3A%2F%2Fwww.webofscience.com%2Fwos%2Fwoscc%2Ffull-record%2FWOS:000243129100013","View Full Record in Web of Science")</f>
        <v>View Full Record in Web of Science</v>
      </c>
    </row>
    <row r="61" spans="1:72" x14ac:dyDescent="0.15">
      <c r="A61" t="s">
        <v>297</v>
      </c>
      <c r="B61" t="s">
        <v>1063</v>
      </c>
      <c r="C61" t="s">
        <v>74</v>
      </c>
      <c r="D61" t="s">
        <v>1037</v>
      </c>
      <c r="E61" t="s">
        <v>74</v>
      </c>
      <c r="F61" t="s">
        <v>1064</v>
      </c>
      <c r="G61" t="s">
        <v>74</v>
      </c>
      <c r="H61" t="s">
        <v>74</v>
      </c>
      <c r="I61" t="s">
        <v>1065</v>
      </c>
      <c r="J61" t="s">
        <v>1040</v>
      </c>
      <c r="K61" t="s">
        <v>1041</v>
      </c>
      <c r="L61" t="s">
        <v>74</v>
      </c>
      <c r="M61" t="s">
        <v>77</v>
      </c>
      <c r="N61" t="s">
        <v>304</v>
      </c>
      <c r="O61" t="s">
        <v>1042</v>
      </c>
      <c r="P61" t="s">
        <v>1043</v>
      </c>
      <c r="Q61" t="s">
        <v>1044</v>
      </c>
      <c r="R61" t="s">
        <v>74</v>
      </c>
      <c r="S61" t="s">
        <v>74</v>
      </c>
      <c r="T61" t="s">
        <v>74</v>
      </c>
      <c r="U61" t="s">
        <v>1066</v>
      </c>
      <c r="V61" t="s">
        <v>1067</v>
      </c>
      <c r="W61" t="s">
        <v>1068</v>
      </c>
      <c r="X61" t="s">
        <v>1069</v>
      </c>
      <c r="Y61" t="s">
        <v>1070</v>
      </c>
      <c r="Z61" t="s">
        <v>74</v>
      </c>
      <c r="AA61" t="s">
        <v>74</v>
      </c>
      <c r="AB61" t="s">
        <v>1051</v>
      </c>
      <c r="AC61" t="s">
        <v>1071</v>
      </c>
      <c r="AD61" t="s">
        <v>1072</v>
      </c>
      <c r="AE61" t="s">
        <v>1073</v>
      </c>
      <c r="AF61" t="s">
        <v>74</v>
      </c>
      <c r="AG61">
        <v>39</v>
      </c>
      <c r="AH61">
        <v>4</v>
      </c>
      <c r="AI61">
        <v>4</v>
      </c>
      <c r="AJ61">
        <v>0</v>
      </c>
      <c r="AK61">
        <v>2</v>
      </c>
      <c r="AL61" t="s">
        <v>348</v>
      </c>
      <c r="AM61" t="s">
        <v>1055</v>
      </c>
      <c r="AN61" t="s">
        <v>1056</v>
      </c>
      <c r="AO61" t="s">
        <v>74</v>
      </c>
      <c r="AP61" t="s">
        <v>74</v>
      </c>
      <c r="AQ61" t="s">
        <v>1057</v>
      </c>
      <c r="AR61" t="s">
        <v>1058</v>
      </c>
      <c r="AS61" t="s">
        <v>74</v>
      </c>
      <c r="AT61" t="s">
        <v>74</v>
      </c>
      <c r="AU61">
        <v>2006</v>
      </c>
      <c r="AV61" t="s">
        <v>74</v>
      </c>
      <c r="AW61" t="s">
        <v>74</v>
      </c>
      <c r="AX61" t="s">
        <v>74</v>
      </c>
      <c r="AY61" t="s">
        <v>74</v>
      </c>
      <c r="AZ61" t="s">
        <v>74</v>
      </c>
      <c r="BA61" t="s">
        <v>74</v>
      </c>
      <c r="BB61">
        <v>201</v>
      </c>
      <c r="BC61" t="s">
        <v>1059</v>
      </c>
      <c r="BD61" t="s">
        <v>74</v>
      </c>
      <c r="BE61" t="s">
        <v>74</v>
      </c>
      <c r="BF61" t="s">
        <v>74</v>
      </c>
      <c r="BG61" t="s">
        <v>74</v>
      </c>
      <c r="BH61" t="s">
        <v>74</v>
      </c>
      <c r="BI61">
        <v>3</v>
      </c>
      <c r="BJ61" t="s">
        <v>1060</v>
      </c>
      <c r="BK61" t="s">
        <v>328</v>
      </c>
      <c r="BL61" t="s">
        <v>1060</v>
      </c>
      <c r="BM61" t="s">
        <v>1061</v>
      </c>
      <c r="BN61" t="s">
        <v>74</v>
      </c>
      <c r="BO61" t="s">
        <v>74</v>
      </c>
      <c r="BP61" t="s">
        <v>74</v>
      </c>
      <c r="BQ61" t="s">
        <v>74</v>
      </c>
      <c r="BR61" t="s">
        <v>101</v>
      </c>
      <c r="BS61" t="s">
        <v>1074</v>
      </c>
      <c r="BT61" t="str">
        <f>HYPERLINK("https%3A%2F%2Fwww.webofscience.com%2Fwos%2Fwoscc%2Ffull-record%2FWOS:000243129100014","View Full Record in Web of Science")</f>
        <v>View Full Record in Web of Science</v>
      </c>
    </row>
    <row r="62" spans="1:72" x14ac:dyDescent="0.15">
      <c r="A62" t="s">
        <v>297</v>
      </c>
      <c r="B62" t="s">
        <v>1075</v>
      </c>
      <c r="C62" t="s">
        <v>74</v>
      </c>
      <c r="D62" t="s">
        <v>1037</v>
      </c>
      <c r="E62" t="s">
        <v>74</v>
      </c>
      <c r="F62" t="s">
        <v>1076</v>
      </c>
      <c r="G62" t="s">
        <v>74</v>
      </c>
      <c r="H62" t="s">
        <v>74</v>
      </c>
      <c r="I62" t="s">
        <v>1077</v>
      </c>
      <c r="J62" t="s">
        <v>1040</v>
      </c>
      <c r="K62" t="s">
        <v>1041</v>
      </c>
      <c r="L62" t="s">
        <v>74</v>
      </c>
      <c r="M62" t="s">
        <v>77</v>
      </c>
      <c r="N62" t="s">
        <v>304</v>
      </c>
      <c r="O62" t="s">
        <v>1042</v>
      </c>
      <c r="P62" t="s">
        <v>1043</v>
      </c>
      <c r="Q62" t="s">
        <v>1044</v>
      </c>
      <c r="R62" t="s">
        <v>74</v>
      </c>
      <c r="S62" t="s">
        <v>74</v>
      </c>
      <c r="T62" t="s">
        <v>74</v>
      </c>
      <c r="U62" t="s">
        <v>1078</v>
      </c>
      <c r="V62" t="s">
        <v>1079</v>
      </c>
      <c r="W62" t="s">
        <v>1080</v>
      </c>
      <c r="X62" t="s">
        <v>1081</v>
      </c>
      <c r="Y62" t="s">
        <v>1082</v>
      </c>
      <c r="Z62" t="s">
        <v>74</v>
      </c>
      <c r="AA62" t="s">
        <v>1083</v>
      </c>
      <c r="AB62" t="s">
        <v>1084</v>
      </c>
      <c r="AC62" t="s">
        <v>1085</v>
      </c>
      <c r="AD62" t="s">
        <v>1085</v>
      </c>
      <c r="AE62" t="s">
        <v>1086</v>
      </c>
      <c r="AF62" t="s">
        <v>74</v>
      </c>
      <c r="AG62">
        <v>28</v>
      </c>
      <c r="AH62">
        <v>2</v>
      </c>
      <c r="AI62">
        <v>2</v>
      </c>
      <c r="AJ62">
        <v>0</v>
      </c>
      <c r="AK62">
        <v>0</v>
      </c>
      <c r="AL62" t="s">
        <v>348</v>
      </c>
      <c r="AM62" t="s">
        <v>1055</v>
      </c>
      <c r="AN62" t="s">
        <v>1056</v>
      </c>
      <c r="AO62" t="s">
        <v>74</v>
      </c>
      <c r="AP62" t="s">
        <v>74</v>
      </c>
      <c r="AQ62" t="s">
        <v>1057</v>
      </c>
      <c r="AR62" t="s">
        <v>1058</v>
      </c>
      <c r="AS62" t="s">
        <v>74</v>
      </c>
      <c r="AT62" t="s">
        <v>74</v>
      </c>
      <c r="AU62">
        <v>2006</v>
      </c>
      <c r="AV62" t="s">
        <v>74</v>
      </c>
      <c r="AW62" t="s">
        <v>74</v>
      </c>
      <c r="AX62" t="s">
        <v>74</v>
      </c>
      <c r="AY62" t="s">
        <v>74</v>
      </c>
      <c r="AZ62" t="s">
        <v>74</v>
      </c>
      <c r="BA62" t="s">
        <v>74</v>
      </c>
      <c r="BB62">
        <v>213</v>
      </c>
      <c r="BC62" t="s">
        <v>1059</v>
      </c>
      <c r="BD62" t="s">
        <v>74</v>
      </c>
      <c r="BE62" t="s">
        <v>74</v>
      </c>
      <c r="BF62" t="s">
        <v>74</v>
      </c>
      <c r="BG62" t="s">
        <v>74</v>
      </c>
      <c r="BH62" t="s">
        <v>74</v>
      </c>
      <c r="BI62">
        <v>3</v>
      </c>
      <c r="BJ62" t="s">
        <v>1060</v>
      </c>
      <c r="BK62" t="s">
        <v>328</v>
      </c>
      <c r="BL62" t="s">
        <v>1060</v>
      </c>
      <c r="BM62" t="s">
        <v>1061</v>
      </c>
      <c r="BN62" t="s">
        <v>74</v>
      </c>
      <c r="BO62" t="s">
        <v>74</v>
      </c>
      <c r="BP62" t="s">
        <v>74</v>
      </c>
      <c r="BQ62" t="s">
        <v>74</v>
      </c>
      <c r="BR62" t="s">
        <v>101</v>
      </c>
      <c r="BS62" t="s">
        <v>1087</v>
      </c>
      <c r="BT62" t="str">
        <f>HYPERLINK("https%3A%2F%2Fwww.webofscience.com%2Fwos%2Fwoscc%2Ffull-record%2FWOS:000243129100015","View Full Record in Web of Science")</f>
        <v>View Full Record in Web of Science</v>
      </c>
    </row>
    <row r="63" spans="1:72" x14ac:dyDescent="0.15">
      <c r="A63" t="s">
        <v>297</v>
      </c>
      <c r="B63" t="s">
        <v>1088</v>
      </c>
      <c r="C63" t="s">
        <v>74</v>
      </c>
      <c r="D63" t="s">
        <v>1089</v>
      </c>
      <c r="E63" t="s">
        <v>74</v>
      </c>
      <c r="F63" t="s">
        <v>1090</v>
      </c>
      <c r="G63" t="s">
        <v>74</v>
      </c>
      <c r="H63" t="s">
        <v>74</v>
      </c>
      <c r="I63" t="s">
        <v>1091</v>
      </c>
      <c r="J63" t="s">
        <v>1092</v>
      </c>
      <c r="K63" t="s">
        <v>303</v>
      </c>
      <c r="L63" t="s">
        <v>74</v>
      </c>
      <c r="M63" t="s">
        <v>77</v>
      </c>
      <c r="N63" t="s">
        <v>304</v>
      </c>
      <c r="O63" t="s">
        <v>1093</v>
      </c>
      <c r="P63" t="s">
        <v>1094</v>
      </c>
      <c r="Q63" t="s">
        <v>1095</v>
      </c>
      <c r="R63" t="s">
        <v>74</v>
      </c>
      <c r="S63" t="s">
        <v>74</v>
      </c>
      <c r="T63" t="s">
        <v>1096</v>
      </c>
      <c r="U63" t="s">
        <v>74</v>
      </c>
      <c r="V63" t="s">
        <v>1097</v>
      </c>
      <c r="W63" t="s">
        <v>1098</v>
      </c>
      <c r="X63" t="s">
        <v>1099</v>
      </c>
      <c r="Y63" t="s">
        <v>1100</v>
      </c>
      <c r="Z63" t="s">
        <v>1101</v>
      </c>
      <c r="AA63" t="s">
        <v>1102</v>
      </c>
      <c r="AB63" t="s">
        <v>74</v>
      </c>
      <c r="AC63" t="s">
        <v>74</v>
      </c>
      <c r="AD63" t="s">
        <v>74</v>
      </c>
      <c r="AE63" t="s">
        <v>74</v>
      </c>
      <c r="AF63" t="s">
        <v>74</v>
      </c>
      <c r="AG63">
        <v>5</v>
      </c>
      <c r="AH63">
        <v>2</v>
      </c>
      <c r="AI63">
        <v>2</v>
      </c>
      <c r="AJ63">
        <v>0</v>
      </c>
      <c r="AK63">
        <v>5</v>
      </c>
      <c r="AL63" t="s">
        <v>318</v>
      </c>
      <c r="AM63" t="s">
        <v>319</v>
      </c>
      <c r="AN63" t="s">
        <v>320</v>
      </c>
      <c r="AO63" t="s">
        <v>321</v>
      </c>
      <c r="AP63" t="s">
        <v>74</v>
      </c>
      <c r="AQ63" t="s">
        <v>1103</v>
      </c>
      <c r="AR63" t="s">
        <v>324</v>
      </c>
      <c r="AS63" t="s">
        <v>74</v>
      </c>
      <c r="AT63" t="s">
        <v>74</v>
      </c>
      <c r="AU63">
        <v>2006</v>
      </c>
      <c r="AV63">
        <v>6296</v>
      </c>
      <c r="AW63" t="s">
        <v>74</v>
      </c>
      <c r="AX63" t="s">
        <v>74</v>
      </c>
      <c r="AY63" t="s">
        <v>74</v>
      </c>
      <c r="AZ63" t="s">
        <v>74</v>
      </c>
      <c r="BA63" t="s">
        <v>74</v>
      </c>
      <c r="BB63" t="s">
        <v>74</v>
      </c>
      <c r="BC63" t="s">
        <v>74</v>
      </c>
      <c r="BD63" t="s">
        <v>1104</v>
      </c>
      <c r="BE63" t="s">
        <v>1105</v>
      </c>
      <c r="BF63" t="str">
        <f>HYPERLINK("http://dx.doi.org/10.1117/12.681049","http://dx.doi.org/10.1117/12.681049")</f>
        <v>http://dx.doi.org/10.1117/12.681049</v>
      </c>
      <c r="BG63" t="s">
        <v>74</v>
      </c>
      <c r="BH63" t="s">
        <v>74</v>
      </c>
      <c r="BI63">
        <v>7</v>
      </c>
      <c r="BJ63" t="s">
        <v>1106</v>
      </c>
      <c r="BK63" t="s">
        <v>328</v>
      </c>
      <c r="BL63" t="s">
        <v>1106</v>
      </c>
      <c r="BM63" t="s">
        <v>1107</v>
      </c>
      <c r="BN63" t="s">
        <v>74</v>
      </c>
      <c r="BO63" t="s">
        <v>74</v>
      </c>
      <c r="BP63" t="s">
        <v>74</v>
      </c>
      <c r="BQ63" t="s">
        <v>74</v>
      </c>
      <c r="BR63" t="s">
        <v>101</v>
      </c>
      <c r="BS63" t="s">
        <v>1108</v>
      </c>
      <c r="BT63" t="str">
        <f>HYPERLINK("https%3A%2F%2Fwww.webofscience.com%2Fwos%2Fwoscc%2Ffull-record%2FWOS:000241988000018","View Full Record in Web of Science")</f>
        <v>View Full Record in Web of Science</v>
      </c>
    </row>
    <row r="64" spans="1:72" x14ac:dyDescent="0.15">
      <c r="A64" t="s">
        <v>72</v>
      </c>
      <c r="B64" t="s">
        <v>1109</v>
      </c>
      <c r="C64" t="s">
        <v>74</v>
      </c>
      <c r="D64" t="s">
        <v>74</v>
      </c>
      <c r="E64" t="s">
        <v>74</v>
      </c>
      <c r="F64" t="s">
        <v>1110</v>
      </c>
      <c r="G64" t="s">
        <v>74</v>
      </c>
      <c r="H64" t="s">
        <v>74</v>
      </c>
      <c r="I64" t="s">
        <v>1111</v>
      </c>
      <c r="J64" t="s">
        <v>1112</v>
      </c>
      <c r="K64" t="s">
        <v>74</v>
      </c>
      <c r="L64" t="s">
        <v>74</v>
      </c>
      <c r="M64" t="s">
        <v>77</v>
      </c>
      <c r="N64" t="s">
        <v>78</v>
      </c>
      <c r="O64" t="s">
        <v>74</v>
      </c>
      <c r="P64" t="s">
        <v>74</v>
      </c>
      <c r="Q64" t="s">
        <v>74</v>
      </c>
      <c r="R64" t="s">
        <v>74</v>
      </c>
      <c r="S64" t="s">
        <v>74</v>
      </c>
      <c r="T64" t="s">
        <v>1113</v>
      </c>
      <c r="U64" t="s">
        <v>1114</v>
      </c>
      <c r="V64" t="s">
        <v>1115</v>
      </c>
      <c r="W64" t="s">
        <v>1116</v>
      </c>
      <c r="X64" t="s">
        <v>1117</v>
      </c>
      <c r="Y64" t="s">
        <v>1118</v>
      </c>
      <c r="Z64" t="s">
        <v>1119</v>
      </c>
      <c r="AA64" t="s">
        <v>1120</v>
      </c>
      <c r="AB64" t="s">
        <v>1121</v>
      </c>
      <c r="AC64" t="s">
        <v>74</v>
      </c>
      <c r="AD64" t="s">
        <v>74</v>
      </c>
      <c r="AE64" t="s">
        <v>74</v>
      </c>
      <c r="AF64" t="s">
        <v>74</v>
      </c>
      <c r="AG64">
        <v>28</v>
      </c>
      <c r="AH64">
        <v>13</v>
      </c>
      <c r="AI64">
        <v>15</v>
      </c>
      <c r="AJ64">
        <v>1</v>
      </c>
      <c r="AK64">
        <v>4</v>
      </c>
      <c r="AL64" t="s">
        <v>1122</v>
      </c>
      <c r="AM64" t="s">
        <v>1123</v>
      </c>
      <c r="AN64" t="s">
        <v>1124</v>
      </c>
      <c r="AO64" t="s">
        <v>1125</v>
      </c>
      <c r="AP64" t="s">
        <v>74</v>
      </c>
      <c r="AQ64" t="s">
        <v>74</v>
      </c>
      <c r="AR64" t="s">
        <v>1126</v>
      </c>
      <c r="AS64" t="s">
        <v>1127</v>
      </c>
      <c r="AT64" t="s">
        <v>74</v>
      </c>
      <c r="AU64">
        <v>2006</v>
      </c>
      <c r="AV64">
        <v>58</v>
      </c>
      <c r="AW64">
        <v>7</v>
      </c>
      <c r="AX64" t="s">
        <v>74</v>
      </c>
      <c r="AY64" t="s">
        <v>74</v>
      </c>
      <c r="AZ64" t="s">
        <v>74</v>
      </c>
      <c r="BA64" t="s">
        <v>74</v>
      </c>
      <c r="BB64">
        <v>795</v>
      </c>
      <c r="BC64">
        <v>804</v>
      </c>
      <c r="BD64" t="s">
        <v>74</v>
      </c>
      <c r="BE64" t="s">
        <v>1128</v>
      </c>
      <c r="BF64" t="str">
        <f>HYPERLINK("http://dx.doi.org/10.1186/BF03351984","http://dx.doi.org/10.1186/BF03351984")</f>
        <v>http://dx.doi.org/10.1186/BF03351984</v>
      </c>
      <c r="BG64" t="s">
        <v>74</v>
      </c>
      <c r="BH64" t="s">
        <v>74</v>
      </c>
      <c r="BI64">
        <v>10</v>
      </c>
      <c r="BJ64" t="s">
        <v>1129</v>
      </c>
      <c r="BK64" t="s">
        <v>98</v>
      </c>
      <c r="BL64" t="s">
        <v>1130</v>
      </c>
      <c r="BM64" t="s">
        <v>1131</v>
      </c>
      <c r="BN64" t="s">
        <v>74</v>
      </c>
      <c r="BO64" t="s">
        <v>1132</v>
      </c>
      <c r="BP64" t="s">
        <v>74</v>
      </c>
      <c r="BQ64" t="s">
        <v>74</v>
      </c>
      <c r="BR64" t="s">
        <v>101</v>
      </c>
      <c r="BS64" t="s">
        <v>1133</v>
      </c>
      <c r="BT64" t="str">
        <f>HYPERLINK("https%3A%2F%2Fwww.webofscience.com%2Fwos%2Fwoscc%2Ffull-record%2FWOS:000239648400001","View Full Record in Web of Science")</f>
        <v>View Full Record in Web of Science</v>
      </c>
    </row>
    <row r="65" spans="1:72" x14ac:dyDescent="0.15">
      <c r="A65" t="s">
        <v>72</v>
      </c>
      <c r="B65" t="s">
        <v>1134</v>
      </c>
      <c r="C65" t="s">
        <v>74</v>
      </c>
      <c r="D65" t="s">
        <v>74</v>
      </c>
      <c r="E65" t="s">
        <v>74</v>
      </c>
      <c r="F65" t="s">
        <v>1135</v>
      </c>
      <c r="G65" t="s">
        <v>74</v>
      </c>
      <c r="H65" t="s">
        <v>74</v>
      </c>
      <c r="I65" t="s">
        <v>1136</v>
      </c>
      <c r="J65" t="s">
        <v>1137</v>
      </c>
      <c r="K65" t="s">
        <v>74</v>
      </c>
      <c r="L65" t="s">
        <v>74</v>
      </c>
      <c r="M65" t="s">
        <v>77</v>
      </c>
      <c r="N65" t="s">
        <v>78</v>
      </c>
      <c r="O65" t="s">
        <v>74</v>
      </c>
      <c r="P65" t="s">
        <v>74</v>
      </c>
      <c r="Q65" t="s">
        <v>74</v>
      </c>
      <c r="R65" t="s">
        <v>74</v>
      </c>
      <c r="S65" t="s">
        <v>74</v>
      </c>
      <c r="T65" t="s">
        <v>1138</v>
      </c>
      <c r="U65" t="s">
        <v>1139</v>
      </c>
      <c r="V65" t="s">
        <v>1140</v>
      </c>
      <c r="W65" t="s">
        <v>1141</v>
      </c>
      <c r="X65" t="s">
        <v>1142</v>
      </c>
      <c r="Y65" t="s">
        <v>1143</v>
      </c>
      <c r="Z65" t="s">
        <v>1144</v>
      </c>
      <c r="AA65" t="s">
        <v>1145</v>
      </c>
      <c r="AB65" t="s">
        <v>1146</v>
      </c>
      <c r="AC65" t="s">
        <v>74</v>
      </c>
      <c r="AD65" t="s">
        <v>74</v>
      </c>
      <c r="AE65" t="s">
        <v>74</v>
      </c>
      <c r="AF65" t="s">
        <v>74</v>
      </c>
      <c r="AG65">
        <v>81</v>
      </c>
      <c r="AH65">
        <v>57</v>
      </c>
      <c r="AI65">
        <v>64</v>
      </c>
      <c r="AJ65">
        <v>2</v>
      </c>
      <c r="AK65">
        <v>73</v>
      </c>
      <c r="AL65" t="s">
        <v>1147</v>
      </c>
      <c r="AM65" t="s">
        <v>1148</v>
      </c>
      <c r="AN65" t="s">
        <v>1149</v>
      </c>
      <c r="AO65" t="s">
        <v>1150</v>
      </c>
      <c r="AP65" t="s">
        <v>74</v>
      </c>
      <c r="AQ65" t="s">
        <v>74</v>
      </c>
      <c r="AR65" t="s">
        <v>1151</v>
      </c>
      <c r="AS65" t="s">
        <v>1152</v>
      </c>
      <c r="AT65" t="s">
        <v>95</v>
      </c>
      <c r="AU65">
        <v>2006</v>
      </c>
      <c r="AV65">
        <v>1</v>
      </c>
      <c r="AW65">
        <v>1</v>
      </c>
      <c r="AX65" t="s">
        <v>74</v>
      </c>
      <c r="AY65" t="s">
        <v>74</v>
      </c>
      <c r="AZ65" t="s">
        <v>74</v>
      </c>
      <c r="BA65" t="s">
        <v>74</v>
      </c>
      <c r="BB65">
        <v>23</v>
      </c>
      <c r="BC65">
        <v>32</v>
      </c>
      <c r="BD65" t="s">
        <v>74</v>
      </c>
      <c r="BE65" t="s">
        <v>1153</v>
      </c>
      <c r="BF65" t="str">
        <f>HYPERLINK("http://dx.doi.org/10.1016/j.ecoinf.2005.06.001","http://dx.doi.org/10.1016/j.ecoinf.2005.06.001")</f>
        <v>http://dx.doi.org/10.1016/j.ecoinf.2005.06.001</v>
      </c>
      <c r="BG65" t="s">
        <v>74</v>
      </c>
      <c r="BH65" t="s">
        <v>74</v>
      </c>
      <c r="BI65">
        <v>10</v>
      </c>
      <c r="BJ65" t="s">
        <v>1154</v>
      </c>
      <c r="BK65" t="s">
        <v>98</v>
      </c>
      <c r="BL65" t="s">
        <v>1155</v>
      </c>
      <c r="BM65" t="s">
        <v>1156</v>
      </c>
      <c r="BN65" t="s">
        <v>74</v>
      </c>
      <c r="BO65" t="s">
        <v>74</v>
      </c>
      <c r="BP65" t="s">
        <v>74</v>
      </c>
      <c r="BQ65" t="s">
        <v>74</v>
      </c>
      <c r="BR65" t="s">
        <v>101</v>
      </c>
      <c r="BS65" t="s">
        <v>1157</v>
      </c>
      <c r="BT65" t="str">
        <f>HYPERLINK("https%3A%2F%2Fwww.webofscience.com%2Fwos%2Fwoscc%2Ffull-record%2FWOS:000244785300004","View Full Record in Web of Science")</f>
        <v>View Full Record in Web of Science</v>
      </c>
    </row>
    <row r="66" spans="1:72" x14ac:dyDescent="0.15">
      <c r="A66" t="s">
        <v>72</v>
      </c>
      <c r="B66" t="s">
        <v>1158</v>
      </c>
      <c r="C66" t="s">
        <v>74</v>
      </c>
      <c r="D66" t="s">
        <v>74</v>
      </c>
      <c r="E66" t="s">
        <v>74</v>
      </c>
      <c r="F66" t="s">
        <v>1159</v>
      </c>
      <c r="G66" t="s">
        <v>74</v>
      </c>
      <c r="H66" t="s">
        <v>74</v>
      </c>
      <c r="I66" t="s">
        <v>1160</v>
      </c>
      <c r="J66" t="s">
        <v>1161</v>
      </c>
      <c r="K66" t="s">
        <v>74</v>
      </c>
      <c r="L66" t="s">
        <v>74</v>
      </c>
      <c r="M66" t="s">
        <v>77</v>
      </c>
      <c r="N66" t="s">
        <v>78</v>
      </c>
      <c r="O66" t="s">
        <v>74</v>
      </c>
      <c r="P66" t="s">
        <v>74</v>
      </c>
      <c r="Q66" t="s">
        <v>74</v>
      </c>
      <c r="R66" t="s">
        <v>74</v>
      </c>
      <c r="S66" t="s">
        <v>74</v>
      </c>
      <c r="T66" t="s">
        <v>74</v>
      </c>
      <c r="U66" t="s">
        <v>1162</v>
      </c>
      <c r="V66" t="s">
        <v>1163</v>
      </c>
      <c r="W66" t="s">
        <v>1164</v>
      </c>
      <c r="X66" t="s">
        <v>1165</v>
      </c>
      <c r="Y66" t="s">
        <v>1166</v>
      </c>
      <c r="Z66" t="s">
        <v>1167</v>
      </c>
      <c r="AA66" t="s">
        <v>1168</v>
      </c>
      <c r="AB66" t="s">
        <v>1169</v>
      </c>
      <c r="AC66" t="s">
        <v>74</v>
      </c>
      <c r="AD66" t="s">
        <v>74</v>
      </c>
      <c r="AE66" t="s">
        <v>74</v>
      </c>
      <c r="AF66" t="s">
        <v>74</v>
      </c>
      <c r="AG66">
        <v>42</v>
      </c>
      <c r="AH66">
        <v>13</v>
      </c>
      <c r="AI66">
        <v>13</v>
      </c>
      <c r="AJ66">
        <v>1</v>
      </c>
      <c r="AK66">
        <v>13</v>
      </c>
      <c r="AL66" t="s">
        <v>1170</v>
      </c>
      <c r="AM66" t="s">
        <v>1171</v>
      </c>
      <c r="AN66" t="s">
        <v>1172</v>
      </c>
      <c r="AO66" t="s">
        <v>1173</v>
      </c>
      <c r="AP66" t="s">
        <v>1174</v>
      </c>
      <c r="AQ66" t="s">
        <v>74</v>
      </c>
      <c r="AR66" t="s">
        <v>1175</v>
      </c>
      <c r="AS66" t="s">
        <v>1176</v>
      </c>
      <c r="AT66" t="s">
        <v>74</v>
      </c>
      <c r="AU66">
        <v>2006</v>
      </c>
      <c r="AV66">
        <v>106</v>
      </c>
      <c r="AW66">
        <v>3</v>
      </c>
      <c r="AX66" t="s">
        <v>74</v>
      </c>
      <c r="AY66" t="s">
        <v>74</v>
      </c>
      <c r="AZ66" t="s">
        <v>74</v>
      </c>
      <c r="BA66" t="s">
        <v>74</v>
      </c>
      <c r="BB66">
        <v>211</v>
      </c>
      <c r="BC66">
        <v>218</v>
      </c>
      <c r="BD66" t="s">
        <v>74</v>
      </c>
      <c r="BE66" t="s">
        <v>1177</v>
      </c>
      <c r="BF66" t="str">
        <f>HYPERLINK("http://dx.doi.org/10.1071/MU06007","http://dx.doi.org/10.1071/MU06007")</f>
        <v>http://dx.doi.org/10.1071/MU06007</v>
      </c>
      <c r="BG66" t="s">
        <v>74</v>
      </c>
      <c r="BH66" t="s">
        <v>74</v>
      </c>
      <c r="BI66">
        <v>8</v>
      </c>
      <c r="BJ66" t="s">
        <v>1178</v>
      </c>
      <c r="BK66" t="s">
        <v>98</v>
      </c>
      <c r="BL66" t="s">
        <v>532</v>
      </c>
      <c r="BM66" t="s">
        <v>1179</v>
      </c>
      <c r="BN66" t="s">
        <v>74</v>
      </c>
      <c r="BO66" t="s">
        <v>74</v>
      </c>
      <c r="BP66" t="s">
        <v>74</v>
      </c>
      <c r="BQ66" t="s">
        <v>74</v>
      </c>
      <c r="BR66" t="s">
        <v>101</v>
      </c>
      <c r="BS66" t="s">
        <v>1180</v>
      </c>
      <c r="BT66" t="str">
        <f>HYPERLINK("https%3A%2F%2Fwww.webofscience.com%2Fwos%2Fwoscc%2Ffull-record%2FWOS:000239819800006","View Full Record in Web of Science")</f>
        <v>View Full Record in Web of Science</v>
      </c>
    </row>
    <row r="67" spans="1:72" x14ac:dyDescent="0.15">
      <c r="A67" t="s">
        <v>72</v>
      </c>
      <c r="B67" t="s">
        <v>1181</v>
      </c>
      <c r="C67" t="s">
        <v>74</v>
      </c>
      <c r="D67" t="s">
        <v>74</v>
      </c>
      <c r="E67" t="s">
        <v>74</v>
      </c>
      <c r="F67" t="s">
        <v>1182</v>
      </c>
      <c r="G67" t="s">
        <v>74</v>
      </c>
      <c r="H67" t="s">
        <v>74</v>
      </c>
      <c r="I67" t="s">
        <v>1183</v>
      </c>
      <c r="J67" t="s">
        <v>1161</v>
      </c>
      <c r="K67" t="s">
        <v>74</v>
      </c>
      <c r="L67" t="s">
        <v>74</v>
      </c>
      <c r="M67" t="s">
        <v>77</v>
      </c>
      <c r="N67" t="s">
        <v>78</v>
      </c>
      <c r="O67" t="s">
        <v>74</v>
      </c>
      <c r="P67" t="s">
        <v>74</v>
      </c>
      <c r="Q67" t="s">
        <v>74</v>
      </c>
      <c r="R67" t="s">
        <v>74</v>
      </c>
      <c r="S67" t="s">
        <v>74</v>
      </c>
      <c r="T67" t="s">
        <v>74</v>
      </c>
      <c r="U67" t="s">
        <v>1184</v>
      </c>
      <c r="V67" t="s">
        <v>1185</v>
      </c>
      <c r="W67" t="s">
        <v>1186</v>
      </c>
      <c r="X67" t="s">
        <v>1187</v>
      </c>
      <c r="Y67" t="s">
        <v>1188</v>
      </c>
      <c r="Z67" t="s">
        <v>1189</v>
      </c>
      <c r="AA67" t="s">
        <v>1190</v>
      </c>
      <c r="AB67" t="s">
        <v>1191</v>
      </c>
      <c r="AC67" t="s">
        <v>74</v>
      </c>
      <c r="AD67" t="s">
        <v>74</v>
      </c>
      <c r="AE67" t="s">
        <v>74</v>
      </c>
      <c r="AF67" t="s">
        <v>74</v>
      </c>
      <c r="AG67">
        <v>29</v>
      </c>
      <c r="AH67">
        <v>11</v>
      </c>
      <c r="AI67">
        <v>11</v>
      </c>
      <c r="AJ67">
        <v>0</v>
      </c>
      <c r="AK67">
        <v>8</v>
      </c>
      <c r="AL67" t="s">
        <v>1170</v>
      </c>
      <c r="AM67" t="s">
        <v>1171</v>
      </c>
      <c r="AN67" t="s">
        <v>1172</v>
      </c>
      <c r="AO67" t="s">
        <v>1173</v>
      </c>
      <c r="AP67" t="s">
        <v>1174</v>
      </c>
      <c r="AQ67" t="s">
        <v>74</v>
      </c>
      <c r="AR67" t="s">
        <v>1175</v>
      </c>
      <c r="AS67" t="s">
        <v>1176</v>
      </c>
      <c r="AT67" t="s">
        <v>74</v>
      </c>
      <c r="AU67">
        <v>2006</v>
      </c>
      <c r="AV67">
        <v>106</v>
      </c>
      <c r="AW67">
        <v>4</v>
      </c>
      <c r="AX67" t="s">
        <v>74</v>
      </c>
      <c r="AY67" t="s">
        <v>74</v>
      </c>
      <c r="AZ67" t="s">
        <v>74</v>
      </c>
      <c r="BA67" t="s">
        <v>74</v>
      </c>
      <c r="BB67">
        <v>297</v>
      </c>
      <c r="BC67">
        <v>304</v>
      </c>
      <c r="BD67" t="s">
        <v>74</v>
      </c>
      <c r="BE67" t="s">
        <v>1192</v>
      </c>
      <c r="BF67" t="str">
        <f>HYPERLINK("http://dx.doi.org/10.1071/MU06003","http://dx.doi.org/10.1071/MU06003")</f>
        <v>http://dx.doi.org/10.1071/MU06003</v>
      </c>
      <c r="BG67" t="s">
        <v>74</v>
      </c>
      <c r="BH67" t="s">
        <v>74</v>
      </c>
      <c r="BI67">
        <v>8</v>
      </c>
      <c r="BJ67" t="s">
        <v>1178</v>
      </c>
      <c r="BK67" t="s">
        <v>98</v>
      </c>
      <c r="BL67" t="s">
        <v>532</v>
      </c>
      <c r="BM67" t="s">
        <v>1193</v>
      </c>
      <c r="BN67" t="s">
        <v>74</v>
      </c>
      <c r="BO67" t="s">
        <v>74</v>
      </c>
      <c r="BP67" t="s">
        <v>74</v>
      </c>
      <c r="BQ67" t="s">
        <v>74</v>
      </c>
      <c r="BR67" t="s">
        <v>101</v>
      </c>
      <c r="BS67" t="s">
        <v>1194</v>
      </c>
      <c r="BT67" t="str">
        <f>HYPERLINK("https%3A%2F%2Fwww.webofscience.com%2Fwos%2Fwoscc%2Ffull-record%2FWOS:000242043100005","View Full Record in Web of Science")</f>
        <v>View Full Record in Web of Science</v>
      </c>
    </row>
    <row r="68" spans="1:72" x14ac:dyDescent="0.15">
      <c r="A68" t="s">
        <v>72</v>
      </c>
      <c r="B68" t="s">
        <v>1195</v>
      </c>
      <c r="C68" t="s">
        <v>74</v>
      </c>
      <c r="D68" t="s">
        <v>74</v>
      </c>
      <c r="E68" t="s">
        <v>74</v>
      </c>
      <c r="F68" t="s">
        <v>1196</v>
      </c>
      <c r="G68" t="s">
        <v>74</v>
      </c>
      <c r="H68" t="s">
        <v>74</v>
      </c>
      <c r="I68" t="s">
        <v>1197</v>
      </c>
      <c r="J68" t="s">
        <v>1161</v>
      </c>
      <c r="K68" t="s">
        <v>74</v>
      </c>
      <c r="L68" t="s">
        <v>74</v>
      </c>
      <c r="M68" t="s">
        <v>77</v>
      </c>
      <c r="N68" t="s">
        <v>78</v>
      </c>
      <c r="O68" t="s">
        <v>74</v>
      </c>
      <c r="P68" t="s">
        <v>74</v>
      </c>
      <c r="Q68" t="s">
        <v>74</v>
      </c>
      <c r="R68" t="s">
        <v>74</v>
      </c>
      <c r="S68" t="s">
        <v>74</v>
      </c>
      <c r="T68" t="s">
        <v>74</v>
      </c>
      <c r="U68" t="s">
        <v>1198</v>
      </c>
      <c r="V68" t="s">
        <v>1199</v>
      </c>
      <c r="W68" t="s">
        <v>801</v>
      </c>
      <c r="X68" t="s">
        <v>788</v>
      </c>
      <c r="Y68" t="s">
        <v>1200</v>
      </c>
      <c r="Z68" t="s">
        <v>1201</v>
      </c>
      <c r="AA68" t="s">
        <v>74</v>
      </c>
      <c r="AB68" t="s">
        <v>74</v>
      </c>
      <c r="AC68" t="s">
        <v>792</v>
      </c>
      <c r="AD68" t="s">
        <v>720</v>
      </c>
      <c r="AE68" t="s">
        <v>74</v>
      </c>
      <c r="AF68" t="s">
        <v>74</v>
      </c>
      <c r="AG68">
        <v>33</v>
      </c>
      <c r="AH68">
        <v>19</v>
      </c>
      <c r="AI68">
        <v>19</v>
      </c>
      <c r="AJ68">
        <v>0</v>
      </c>
      <c r="AK68">
        <v>5</v>
      </c>
      <c r="AL68" t="s">
        <v>1170</v>
      </c>
      <c r="AM68" t="s">
        <v>1171</v>
      </c>
      <c r="AN68" t="s">
        <v>1172</v>
      </c>
      <c r="AO68" t="s">
        <v>1173</v>
      </c>
      <c r="AP68" t="s">
        <v>1174</v>
      </c>
      <c r="AQ68" t="s">
        <v>74</v>
      </c>
      <c r="AR68" t="s">
        <v>1175</v>
      </c>
      <c r="AS68" t="s">
        <v>1176</v>
      </c>
      <c r="AT68" t="s">
        <v>74</v>
      </c>
      <c r="AU68">
        <v>2006</v>
      </c>
      <c r="AV68">
        <v>106</v>
      </c>
      <c r="AW68">
        <v>4</v>
      </c>
      <c r="AX68" t="s">
        <v>74</v>
      </c>
      <c r="AY68" t="s">
        <v>74</v>
      </c>
      <c r="AZ68" t="s">
        <v>74</v>
      </c>
      <c r="BA68" t="s">
        <v>74</v>
      </c>
      <c r="BB68">
        <v>305</v>
      </c>
      <c r="BC68">
        <v>308</v>
      </c>
      <c r="BD68" t="s">
        <v>74</v>
      </c>
      <c r="BE68" t="s">
        <v>1202</v>
      </c>
      <c r="BF68" t="str">
        <f>HYPERLINK("http://dx.doi.org/10.1071/MU06035","http://dx.doi.org/10.1071/MU06035")</f>
        <v>http://dx.doi.org/10.1071/MU06035</v>
      </c>
      <c r="BG68" t="s">
        <v>74</v>
      </c>
      <c r="BH68" t="s">
        <v>74</v>
      </c>
      <c r="BI68">
        <v>4</v>
      </c>
      <c r="BJ68" t="s">
        <v>1178</v>
      </c>
      <c r="BK68" t="s">
        <v>98</v>
      </c>
      <c r="BL68" t="s">
        <v>532</v>
      </c>
      <c r="BM68" t="s">
        <v>1193</v>
      </c>
      <c r="BN68" t="s">
        <v>74</v>
      </c>
      <c r="BO68" t="s">
        <v>74</v>
      </c>
      <c r="BP68" t="s">
        <v>74</v>
      </c>
      <c r="BQ68" t="s">
        <v>74</v>
      </c>
      <c r="BR68" t="s">
        <v>101</v>
      </c>
      <c r="BS68" t="s">
        <v>1203</v>
      </c>
      <c r="BT68" t="str">
        <f>HYPERLINK("https%3A%2F%2Fwww.webofscience.com%2Fwos%2Fwoscc%2Ffull-record%2FWOS:000242043100006","View Full Record in Web of Science")</f>
        <v>View Full Record in Web of Science</v>
      </c>
    </row>
    <row r="69" spans="1:72" x14ac:dyDescent="0.15">
      <c r="A69" t="s">
        <v>72</v>
      </c>
      <c r="B69" t="s">
        <v>1204</v>
      </c>
      <c r="C69" t="s">
        <v>74</v>
      </c>
      <c r="D69" t="s">
        <v>74</v>
      </c>
      <c r="E69" t="s">
        <v>74</v>
      </c>
      <c r="F69" t="s">
        <v>1205</v>
      </c>
      <c r="G69" t="s">
        <v>74</v>
      </c>
      <c r="H69" t="s">
        <v>74</v>
      </c>
      <c r="I69" t="s">
        <v>1206</v>
      </c>
      <c r="J69" t="s">
        <v>1207</v>
      </c>
      <c r="K69" t="s">
        <v>74</v>
      </c>
      <c r="L69" t="s">
        <v>74</v>
      </c>
      <c r="M69" t="s">
        <v>77</v>
      </c>
      <c r="N69" t="s">
        <v>78</v>
      </c>
      <c r="O69" t="s">
        <v>74</v>
      </c>
      <c r="P69" t="s">
        <v>74</v>
      </c>
      <c r="Q69" t="s">
        <v>74</v>
      </c>
      <c r="R69" t="s">
        <v>74</v>
      </c>
      <c r="S69" t="s">
        <v>74</v>
      </c>
      <c r="T69" t="s">
        <v>74</v>
      </c>
      <c r="U69" t="s">
        <v>74</v>
      </c>
      <c r="V69" t="s">
        <v>1208</v>
      </c>
      <c r="W69" t="s">
        <v>1209</v>
      </c>
      <c r="X69" t="s">
        <v>1210</v>
      </c>
      <c r="Y69" t="s">
        <v>1211</v>
      </c>
      <c r="Z69" t="s">
        <v>74</v>
      </c>
      <c r="AA69" t="s">
        <v>74</v>
      </c>
      <c r="AB69" t="s">
        <v>74</v>
      </c>
      <c r="AC69" t="s">
        <v>74</v>
      </c>
      <c r="AD69" t="s">
        <v>74</v>
      </c>
      <c r="AE69" t="s">
        <v>74</v>
      </c>
      <c r="AF69" t="s">
        <v>74</v>
      </c>
      <c r="AG69">
        <v>23</v>
      </c>
      <c r="AH69">
        <v>0</v>
      </c>
      <c r="AI69">
        <v>0</v>
      </c>
      <c r="AJ69">
        <v>0</v>
      </c>
      <c r="AK69">
        <v>1</v>
      </c>
      <c r="AL69" t="s">
        <v>1212</v>
      </c>
      <c r="AM69" t="s">
        <v>1213</v>
      </c>
      <c r="AN69" t="s">
        <v>1214</v>
      </c>
      <c r="AO69" t="s">
        <v>1215</v>
      </c>
      <c r="AP69" t="s">
        <v>74</v>
      </c>
      <c r="AQ69" t="s">
        <v>74</v>
      </c>
      <c r="AR69" t="s">
        <v>1216</v>
      </c>
      <c r="AS69" t="s">
        <v>1217</v>
      </c>
      <c r="AT69" t="s">
        <v>74</v>
      </c>
      <c r="AU69">
        <v>2006</v>
      </c>
      <c r="AV69">
        <v>23</v>
      </c>
      <c r="AW69">
        <v>6</v>
      </c>
      <c r="AX69" t="s">
        <v>74</v>
      </c>
      <c r="AY69" t="s">
        <v>74</v>
      </c>
      <c r="AZ69" t="s">
        <v>74</v>
      </c>
      <c r="BA69" t="s">
        <v>74</v>
      </c>
      <c r="BB69" t="s">
        <v>74</v>
      </c>
      <c r="BC69" t="s">
        <v>74</v>
      </c>
      <c r="BD69" t="s">
        <v>74</v>
      </c>
      <c r="BE69" t="s">
        <v>74</v>
      </c>
      <c r="BF69" t="s">
        <v>74</v>
      </c>
      <c r="BG69" t="s">
        <v>74</v>
      </c>
      <c r="BH69" t="s">
        <v>74</v>
      </c>
      <c r="BI69">
        <v>22</v>
      </c>
      <c r="BJ69" t="s">
        <v>1218</v>
      </c>
      <c r="BK69" t="s">
        <v>1219</v>
      </c>
      <c r="BL69" t="s">
        <v>1220</v>
      </c>
      <c r="BM69" t="s">
        <v>1221</v>
      </c>
      <c r="BN69" t="s">
        <v>74</v>
      </c>
      <c r="BO69" t="s">
        <v>74</v>
      </c>
      <c r="BP69" t="s">
        <v>74</v>
      </c>
      <c r="BQ69" t="s">
        <v>74</v>
      </c>
      <c r="BR69" t="s">
        <v>101</v>
      </c>
      <c r="BS69" t="s">
        <v>1222</v>
      </c>
      <c r="BT69" t="str">
        <f>HYPERLINK("https%3A%2F%2Fwww.webofscience.com%2Fwos%2Fwoscc%2Ffull-record%2FWOS:000213687600005","View Full Record in Web of Science")</f>
        <v>View Full Record in Web of Science</v>
      </c>
    </row>
    <row r="70" spans="1:72" x14ac:dyDescent="0.15">
      <c r="A70" t="s">
        <v>72</v>
      </c>
      <c r="B70" t="s">
        <v>1223</v>
      </c>
      <c r="C70" t="s">
        <v>74</v>
      </c>
      <c r="D70" t="s">
        <v>74</v>
      </c>
      <c r="E70" t="s">
        <v>74</v>
      </c>
      <c r="F70" t="s">
        <v>1224</v>
      </c>
      <c r="G70" t="s">
        <v>74</v>
      </c>
      <c r="H70" t="s">
        <v>74</v>
      </c>
      <c r="I70" t="s">
        <v>1225</v>
      </c>
      <c r="J70" t="s">
        <v>1226</v>
      </c>
      <c r="K70" t="s">
        <v>74</v>
      </c>
      <c r="L70" t="s">
        <v>74</v>
      </c>
      <c r="M70" t="s">
        <v>77</v>
      </c>
      <c r="N70" t="s">
        <v>289</v>
      </c>
      <c r="O70" t="s">
        <v>74</v>
      </c>
      <c r="P70" t="s">
        <v>74</v>
      </c>
      <c r="Q70" t="s">
        <v>74</v>
      </c>
      <c r="R70" t="s">
        <v>74</v>
      </c>
      <c r="S70" t="s">
        <v>74</v>
      </c>
      <c r="T70" t="s">
        <v>1227</v>
      </c>
      <c r="U70" t="s">
        <v>1228</v>
      </c>
      <c r="V70" t="s">
        <v>1229</v>
      </c>
      <c r="W70" t="s">
        <v>1230</v>
      </c>
      <c r="X70" t="s">
        <v>1231</v>
      </c>
      <c r="Y70" t="s">
        <v>1232</v>
      </c>
      <c r="Z70" t="s">
        <v>1233</v>
      </c>
      <c r="AA70" t="s">
        <v>1234</v>
      </c>
      <c r="AB70" t="s">
        <v>1235</v>
      </c>
      <c r="AC70" t="s">
        <v>74</v>
      </c>
      <c r="AD70" t="s">
        <v>74</v>
      </c>
      <c r="AE70" t="s">
        <v>74</v>
      </c>
      <c r="AF70" t="s">
        <v>74</v>
      </c>
      <c r="AG70">
        <v>213</v>
      </c>
      <c r="AH70">
        <v>34</v>
      </c>
      <c r="AI70">
        <v>35</v>
      </c>
      <c r="AJ70">
        <v>1</v>
      </c>
      <c r="AK70">
        <v>117</v>
      </c>
      <c r="AL70" t="s">
        <v>1236</v>
      </c>
      <c r="AM70" t="s">
        <v>1237</v>
      </c>
      <c r="AN70" t="s">
        <v>1238</v>
      </c>
      <c r="AO70" t="s">
        <v>1239</v>
      </c>
      <c r="AP70" t="s">
        <v>1240</v>
      </c>
      <c r="AQ70" t="s">
        <v>74</v>
      </c>
      <c r="AR70" t="s">
        <v>1241</v>
      </c>
      <c r="AS70" t="s">
        <v>1242</v>
      </c>
      <c r="AT70" t="s">
        <v>74</v>
      </c>
      <c r="AU70">
        <v>2006</v>
      </c>
      <c r="AV70">
        <v>3</v>
      </c>
      <c r="AW70">
        <v>2</v>
      </c>
      <c r="AX70" t="s">
        <v>74</v>
      </c>
      <c r="AY70" t="s">
        <v>74</v>
      </c>
      <c r="AZ70" t="s">
        <v>74</v>
      </c>
      <c r="BA70" t="s">
        <v>74</v>
      </c>
      <c r="BB70">
        <v>77</v>
      </c>
      <c r="BC70">
        <v>93</v>
      </c>
      <c r="BD70" t="s">
        <v>74</v>
      </c>
      <c r="BE70" t="s">
        <v>1243</v>
      </c>
      <c r="BF70" t="str">
        <f>HYPERLINK("http://dx.doi.org/10.1071/EN05093","http://dx.doi.org/10.1071/EN05093")</f>
        <v>http://dx.doi.org/10.1071/EN05093</v>
      </c>
      <c r="BG70" t="s">
        <v>74</v>
      </c>
      <c r="BH70" t="s">
        <v>74</v>
      </c>
      <c r="BI70">
        <v>17</v>
      </c>
      <c r="BJ70" t="s">
        <v>1244</v>
      </c>
      <c r="BK70" t="s">
        <v>98</v>
      </c>
      <c r="BL70" t="s">
        <v>1245</v>
      </c>
      <c r="BM70" t="s">
        <v>1246</v>
      </c>
      <c r="BN70" t="s">
        <v>74</v>
      </c>
      <c r="BO70" t="s">
        <v>74</v>
      </c>
      <c r="BP70" t="s">
        <v>74</v>
      </c>
      <c r="BQ70" t="s">
        <v>74</v>
      </c>
      <c r="BR70" t="s">
        <v>101</v>
      </c>
      <c r="BS70" t="s">
        <v>1247</v>
      </c>
      <c r="BT70" t="str">
        <f>HYPERLINK("https%3A%2F%2Fwww.webofscience.com%2Fwos%2Fwoscc%2Ffull-record%2FWOS:000238086500002","View Full Record in Web of Science")</f>
        <v>View Full Record in Web of Science</v>
      </c>
    </row>
    <row r="71" spans="1:72" x14ac:dyDescent="0.15">
      <c r="A71" t="s">
        <v>297</v>
      </c>
      <c r="B71" t="s">
        <v>1248</v>
      </c>
      <c r="C71" t="s">
        <v>74</v>
      </c>
      <c r="D71" t="s">
        <v>1249</v>
      </c>
      <c r="E71" t="s">
        <v>74</v>
      </c>
      <c r="F71" t="s">
        <v>1248</v>
      </c>
      <c r="G71" t="s">
        <v>74</v>
      </c>
      <c r="H71" t="s">
        <v>74</v>
      </c>
      <c r="I71" t="s">
        <v>1250</v>
      </c>
      <c r="J71" t="s">
        <v>1251</v>
      </c>
      <c r="K71" t="s">
        <v>1252</v>
      </c>
      <c r="L71" t="s">
        <v>74</v>
      </c>
      <c r="M71" t="s">
        <v>77</v>
      </c>
      <c r="N71" t="s">
        <v>304</v>
      </c>
      <c r="O71" t="s">
        <v>1253</v>
      </c>
      <c r="P71" t="s">
        <v>1254</v>
      </c>
      <c r="Q71" t="s">
        <v>1255</v>
      </c>
      <c r="R71" t="s">
        <v>74</v>
      </c>
      <c r="S71" t="s">
        <v>74</v>
      </c>
      <c r="T71" t="s">
        <v>74</v>
      </c>
      <c r="U71" t="s">
        <v>1256</v>
      </c>
      <c r="V71" t="s">
        <v>1257</v>
      </c>
      <c r="W71" t="s">
        <v>1258</v>
      </c>
      <c r="X71" t="s">
        <v>1259</v>
      </c>
      <c r="Y71" t="s">
        <v>1260</v>
      </c>
      <c r="Z71" t="s">
        <v>74</v>
      </c>
      <c r="AA71" t="s">
        <v>74</v>
      </c>
      <c r="AB71" t="s">
        <v>74</v>
      </c>
      <c r="AC71" t="s">
        <v>74</v>
      </c>
      <c r="AD71" t="s">
        <v>74</v>
      </c>
      <c r="AE71" t="s">
        <v>74</v>
      </c>
      <c r="AF71" t="s">
        <v>74</v>
      </c>
      <c r="AG71">
        <v>79</v>
      </c>
      <c r="AH71">
        <v>4</v>
      </c>
      <c r="AI71">
        <v>4</v>
      </c>
      <c r="AJ71">
        <v>0</v>
      </c>
      <c r="AK71">
        <v>10</v>
      </c>
      <c r="AL71" t="s">
        <v>88</v>
      </c>
      <c r="AM71" t="s">
        <v>162</v>
      </c>
      <c r="AN71" t="s">
        <v>1261</v>
      </c>
      <c r="AO71" t="s">
        <v>1262</v>
      </c>
      <c r="AP71" t="s">
        <v>74</v>
      </c>
      <c r="AQ71" t="s">
        <v>1263</v>
      </c>
      <c r="AR71" t="s">
        <v>1264</v>
      </c>
      <c r="AS71" t="s">
        <v>1265</v>
      </c>
      <c r="AT71" t="s">
        <v>74</v>
      </c>
      <c r="AU71">
        <v>2006</v>
      </c>
      <c r="AV71">
        <v>57</v>
      </c>
      <c r="AW71" t="s">
        <v>74</v>
      </c>
      <c r="AX71" t="s">
        <v>74</v>
      </c>
      <c r="AY71" t="s">
        <v>74</v>
      </c>
      <c r="AZ71" t="s">
        <v>74</v>
      </c>
      <c r="BA71" t="s">
        <v>74</v>
      </c>
      <c r="BB71">
        <v>179</v>
      </c>
      <c r="BC71">
        <v>191</v>
      </c>
      <c r="BD71" t="s">
        <v>74</v>
      </c>
      <c r="BE71" t="s">
        <v>74</v>
      </c>
      <c r="BF71" t="s">
        <v>74</v>
      </c>
      <c r="BG71" t="s">
        <v>74</v>
      </c>
      <c r="BH71" t="s">
        <v>74</v>
      </c>
      <c r="BI71">
        <v>13</v>
      </c>
      <c r="BJ71" t="s">
        <v>1266</v>
      </c>
      <c r="BK71" t="s">
        <v>328</v>
      </c>
      <c r="BL71" t="s">
        <v>1267</v>
      </c>
      <c r="BM71" t="s">
        <v>1268</v>
      </c>
      <c r="BN71" t="s">
        <v>74</v>
      </c>
      <c r="BO71" t="s">
        <v>74</v>
      </c>
      <c r="BP71" t="s">
        <v>74</v>
      </c>
      <c r="BQ71" t="s">
        <v>74</v>
      </c>
      <c r="BR71" t="s">
        <v>101</v>
      </c>
      <c r="BS71" t="s">
        <v>1269</v>
      </c>
      <c r="BT71" t="str">
        <f>HYPERLINK("https%3A%2F%2Fwww.webofscience.com%2Fwos%2Fwoscc%2Ffull-record%2FWOS:000236077800014","View Full Record in Web of Science")</f>
        <v>View Full Record in Web of Science</v>
      </c>
    </row>
    <row r="72" spans="1:72" x14ac:dyDescent="0.15">
      <c r="A72" t="s">
        <v>297</v>
      </c>
      <c r="B72" t="s">
        <v>1270</v>
      </c>
      <c r="C72" t="s">
        <v>74</v>
      </c>
      <c r="D72" t="s">
        <v>1249</v>
      </c>
      <c r="E72" t="s">
        <v>74</v>
      </c>
      <c r="F72" t="s">
        <v>1270</v>
      </c>
      <c r="G72" t="s">
        <v>74</v>
      </c>
      <c r="H72" t="s">
        <v>74</v>
      </c>
      <c r="I72" t="s">
        <v>1271</v>
      </c>
      <c r="J72" t="s">
        <v>1251</v>
      </c>
      <c r="K72" t="s">
        <v>1272</v>
      </c>
      <c r="L72" t="s">
        <v>74</v>
      </c>
      <c r="M72" t="s">
        <v>77</v>
      </c>
      <c r="N72" t="s">
        <v>304</v>
      </c>
      <c r="O72" t="s">
        <v>1253</v>
      </c>
      <c r="P72" t="s">
        <v>1254</v>
      </c>
      <c r="Q72" t="s">
        <v>1255</v>
      </c>
      <c r="R72" t="s">
        <v>74</v>
      </c>
      <c r="S72" t="s">
        <v>74</v>
      </c>
      <c r="T72" t="s">
        <v>74</v>
      </c>
      <c r="U72" t="s">
        <v>1273</v>
      </c>
      <c r="V72" t="s">
        <v>1274</v>
      </c>
      <c r="W72" t="s">
        <v>1275</v>
      </c>
      <c r="X72" t="s">
        <v>1259</v>
      </c>
      <c r="Y72" t="s">
        <v>1276</v>
      </c>
      <c r="Z72" t="s">
        <v>74</v>
      </c>
      <c r="AA72" t="s">
        <v>1277</v>
      </c>
      <c r="AB72" t="s">
        <v>1278</v>
      </c>
      <c r="AC72" t="s">
        <v>74</v>
      </c>
      <c r="AD72" t="s">
        <v>74</v>
      </c>
      <c r="AE72" t="s">
        <v>74</v>
      </c>
      <c r="AF72" t="s">
        <v>74</v>
      </c>
      <c r="AG72">
        <v>90</v>
      </c>
      <c r="AH72">
        <v>3</v>
      </c>
      <c r="AI72">
        <v>4</v>
      </c>
      <c r="AJ72">
        <v>0</v>
      </c>
      <c r="AK72">
        <v>2</v>
      </c>
      <c r="AL72" t="s">
        <v>88</v>
      </c>
      <c r="AM72" t="s">
        <v>162</v>
      </c>
      <c r="AN72" t="s">
        <v>1261</v>
      </c>
      <c r="AO72" t="s">
        <v>1262</v>
      </c>
      <c r="AP72" t="s">
        <v>74</v>
      </c>
      <c r="AQ72" t="s">
        <v>1263</v>
      </c>
      <c r="AR72" t="s">
        <v>1264</v>
      </c>
      <c r="AS72" t="s">
        <v>1265</v>
      </c>
      <c r="AT72" t="s">
        <v>74</v>
      </c>
      <c r="AU72">
        <v>2006</v>
      </c>
      <c r="AV72">
        <v>57</v>
      </c>
      <c r="AW72" t="s">
        <v>74</v>
      </c>
      <c r="AX72" t="s">
        <v>74</v>
      </c>
      <c r="AY72" t="s">
        <v>74</v>
      </c>
      <c r="AZ72" t="s">
        <v>74</v>
      </c>
      <c r="BA72" t="s">
        <v>74</v>
      </c>
      <c r="BB72">
        <v>217</v>
      </c>
      <c r="BC72" t="s">
        <v>1059</v>
      </c>
      <c r="BD72" t="s">
        <v>74</v>
      </c>
      <c r="BE72" t="s">
        <v>74</v>
      </c>
      <c r="BF72" t="s">
        <v>74</v>
      </c>
      <c r="BG72" t="s">
        <v>74</v>
      </c>
      <c r="BH72" t="s">
        <v>74</v>
      </c>
      <c r="BI72">
        <v>6</v>
      </c>
      <c r="BJ72" t="s">
        <v>1266</v>
      </c>
      <c r="BK72" t="s">
        <v>328</v>
      </c>
      <c r="BL72" t="s">
        <v>1267</v>
      </c>
      <c r="BM72" t="s">
        <v>1268</v>
      </c>
      <c r="BN72" t="s">
        <v>74</v>
      </c>
      <c r="BO72" t="s">
        <v>74</v>
      </c>
      <c r="BP72" t="s">
        <v>74</v>
      </c>
      <c r="BQ72" t="s">
        <v>74</v>
      </c>
      <c r="BR72" t="s">
        <v>101</v>
      </c>
      <c r="BS72" t="s">
        <v>1279</v>
      </c>
      <c r="BT72" t="str">
        <f>HYPERLINK("https%3A%2F%2Fwww.webofscience.com%2Fwos%2Fwoscc%2Ffull-record%2FWOS:000236077800017","View Full Record in Web of Science")</f>
        <v>View Full Record in Web of Science</v>
      </c>
    </row>
    <row r="73" spans="1:72" x14ac:dyDescent="0.15">
      <c r="A73" t="s">
        <v>577</v>
      </c>
      <c r="B73" t="s">
        <v>1280</v>
      </c>
      <c r="C73" t="s">
        <v>74</v>
      </c>
      <c r="D73" t="s">
        <v>1281</v>
      </c>
      <c r="E73" t="s">
        <v>74</v>
      </c>
      <c r="F73" t="s">
        <v>1282</v>
      </c>
      <c r="G73" t="s">
        <v>74</v>
      </c>
      <c r="H73" t="s">
        <v>74</v>
      </c>
      <c r="I73" t="s">
        <v>1283</v>
      </c>
      <c r="J73" t="s">
        <v>1284</v>
      </c>
      <c r="K73" t="s">
        <v>1285</v>
      </c>
      <c r="L73" t="s">
        <v>74</v>
      </c>
      <c r="M73" t="s">
        <v>77</v>
      </c>
      <c r="N73" t="s">
        <v>381</v>
      </c>
      <c r="O73" t="s">
        <v>74</v>
      </c>
      <c r="P73" t="s">
        <v>74</v>
      </c>
      <c r="Q73" t="s">
        <v>74</v>
      </c>
      <c r="R73" t="s">
        <v>74</v>
      </c>
      <c r="S73" t="s">
        <v>74</v>
      </c>
      <c r="T73" t="s">
        <v>1286</v>
      </c>
      <c r="U73" t="s">
        <v>1287</v>
      </c>
      <c r="V73" t="s">
        <v>1288</v>
      </c>
      <c r="W73" t="s">
        <v>1289</v>
      </c>
      <c r="X73" t="s">
        <v>1290</v>
      </c>
      <c r="Y73" t="s">
        <v>1291</v>
      </c>
      <c r="Z73" t="s">
        <v>1292</v>
      </c>
      <c r="AA73" t="s">
        <v>1293</v>
      </c>
      <c r="AB73" t="s">
        <v>1294</v>
      </c>
      <c r="AC73" t="s">
        <v>74</v>
      </c>
      <c r="AD73" t="s">
        <v>74</v>
      </c>
      <c r="AE73" t="s">
        <v>74</v>
      </c>
      <c r="AF73" t="s">
        <v>74</v>
      </c>
      <c r="AG73">
        <v>67</v>
      </c>
      <c r="AH73">
        <v>81</v>
      </c>
      <c r="AI73">
        <v>82</v>
      </c>
      <c r="AJ73">
        <v>0</v>
      </c>
      <c r="AK73">
        <v>2</v>
      </c>
      <c r="AL73" t="s">
        <v>1295</v>
      </c>
      <c r="AM73" t="s">
        <v>605</v>
      </c>
      <c r="AN73" t="s">
        <v>1296</v>
      </c>
      <c r="AO73" t="s">
        <v>1297</v>
      </c>
      <c r="AP73" t="s">
        <v>74</v>
      </c>
      <c r="AQ73" t="s">
        <v>1298</v>
      </c>
      <c r="AR73" t="s">
        <v>1299</v>
      </c>
      <c r="AS73" t="s">
        <v>74</v>
      </c>
      <c r="AT73" t="s">
        <v>74</v>
      </c>
      <c r="AU73">
        <v>2006</v>
      </c>
      <c r="AV73">
        <v>407</v>
      </c>
      <c r="AW73" t="s">
        <v>74</v>
      </c>
      <c r="AX73" t="s">
        <v>74</v>
      </c>
      <c r="AY73" t="s">
        <v>74</v>
      </c>
      <c r="AZ73" t="s">
        <v>74</v>
      </c>
      <c r="BA73" t="s">
        <v>74</v>
      </c>
      <c r="BB73">
        <v>185</v>
      </c>
      <c r="BC73">
        <v>213</v>
      </c>
      <c r="BD73" t="s">
        <v>74</v>
      </c>
      <c r="BE73" t="s">
        <v>1300</v>
      </c>
      <c r="BF73" t="str">
        <f>HYPERLINK("http://dx.doi.org/10.1130/2006.2407(09)","http://dx.doi.org/10.1130/2006.2407(09)")</f>
        <v>http://dx.doi.org/10.1130/2006.2407(09)</v>
      </c>
      <c r="BG73" t="s">
        <v>74</v>
      </c>
      <c r="BH73" t="s">
        <v>74</v>
      </c>
      <c r="BI73">
        <v>29</v>
      </c>
      <c r="BJ73" t="s">
        <v>1301</v>
      </c>
      <c r="BK73" t="s">
        <v>609</v>
      </c>
      <c r="BL73" t="s">
        <v>1060</v>
      </c>
      <c r="BM73" t="s">
        <v>1302</v>
      </c>
      <c r="BN73" t="s">
        <v>74</v>
      </c>
      <c r="BO73" t="s">
        <v>74</v>
      </c>
      <c r="BP73" t="s">
        <v>74</v>
      </c>
      <c r="BQ73" t="s">
        <v>74</v>
      </c>
      <c r="BR73" t="s">
        <v>101</v>
      </c>
      <c r="BS73" t="s">
        <v>1303</v>
      </c>
      <c r="BT73" t="str">
        <f>HYPERLINK("https%3A%2F%2Fwww.webofscience.com%2Fwos%2Fwoscc%2Ffull-record%2FWOS:000271386900011","View Full Record in Web of Science")</f>
        <v>View Full Record in Web of Science</v>
      </c>
    </row>
    <row r="74" spans="1:72" x14ac:dyDescent="0.15">
      <c r="A74" t="s">
        <v>577</v>
      </c>
      <c r="B74" t="s">
        <v>1304</v>
      </c>
      <c r="C74" t="s">
        <v>74</v>
      </c>
      <c r="D74" t="s">
        <v>1305</v>
      </c>
      <c r="E74" t="s">
        <v>74</v>
      </c>
      <c r="F74" t="s">
        <v>1306</v>
      </c>
      <c r="G74" t="s">
        <v>74</v>
      </c>
      <c r="H74" t="s">
        <v>74</v>
      </c>
      <c r="I74" t="s">
        <v>1307</v>
      </c>
      <c r="J74" t="s">
        <v>1308</v>
      </c>
      <c r="K74" t="s">
        <v>1309</v>
      </c>
      <c r="L74" t="s">
        <v>74</v>
      </c>
      <c r="M74" t="s">
        <v>77</v>
      </c>
      <c r="N74" t="s">
        <v>1310</v>
      </c>
      <c r="O74" t="s">
        <v>74</v>
      </c>
      <c r="P74" t="s">
        <v>74</v>
      </c>
      <c r="Q74" t="s">
        <v>74</v>
      </c>
      <c r="R74" t="s">
        <v>74</v>
      </c>
      <c r="S74" t="s">
        <v>74</v>
      </c>
      <c r="T74" t="s">
        <v>74</v>
      </c>
      <c r="U74" t="s">
        <v>1311</v>
      </c>
      <c r="V74" t="s">
        <v>74</v>
      </c>
      <c r="W74" t="s">
        <v>1312</v>
      </c>
      <c r="X74" t="s">
        <v>1313</v>
      </c>
      <c r="Y74" t="s">
        <v>1314</v>
      </c>
      <c r="Z74" t="s">
        <v>74</v>
      </c>
      <c r="AA74" t="s">
        <v>1315</v>
      </c>
      <c r="AB74" t="s">
        <v>1316</v>
      </c>
      <c r="AC74" t="s">
        <v>74</v>
      </c>
      <c r="AD74" t="s">
        <v>74</v>
      </c>
      <c r="AE74" t="s">
        <v>74</v>
      </c>
      <c r="AF74" t="s">
        <v>74</v>
      </c>
      <c r="AG74">
        <v>108</v>
      </c>
      <c r="AH74">
        <v>16</v>
      </c>
      <c r="AI74">
        <v>16</v>
      </c>
      <c r="AJ74">
        <v>0</v>
      </c>
      <c r="AK74">
        <v>20</v>
      </c>
      <c r="AL74" t="s">
        <v>1317</v>
      </c>
      <c r="AM74" t="s">
        <v>1055</v>
      </c>
      <c r="AN74" t="s">
        <v>1318</v>
      </c>
      <c r="AO74" t="s">
        <v>1319</v>
      </c>
      <c r="AP74" t="s">
        <v>74</v>
      </c>
      <c r="AQ74" t="s">
        <v>1320</v>
      </c>
      <c r="AR74" t="s">
        <v>1321</v>
      </c>
      <c r="AS74" t="s">
        <v>1322</v>
      </c>
      <c r="AT74" t="s">
        <v>74</v>
      </c>
      <c r="AU74">
        <v>2006</v>
      </c>
      <c r="AV74">
        <v>35</v>
      </c>
      <c r="AW74" t="s">
        <v>74</v>
      </c>
      <c r="AX74" t="s">
        <v>74</v>
      </c>
      <c r="AY74" t="s">
        <v>74</v>
      </c>
      <c r="AZ74" t="s">
        <v>74</v>
      </c>
      <c r="BA74" t="s">
        <v>74</v>
      </c>
      <c r="BB74">
        <v>395</v>
      </c>
      <c r="BC74">
        <v>436</v>
      </c>
      <c r="BD74" t="s">
        <v>74</v>
      </c>
      <c r="BE74" t="s">
        <v>1323</v>
      </c>
      <c r="BF74" t="str">
        <f>HYPERLINK("http://dx.doi.org/10.1016/S0580-9517(05)35017-3","http://dx.doi.org/10.1016/S0580-9517(05)35017-3")</f>
        <v>http://dx.doi.org/10.1016/S0580-9517(05)35017-3</v>
      </c>
      <c r="BG74" t="s">
        <v>74</v>
      </c>
      <c r="BH74" t="s">
        <v>74</v>
      </c>
      <c r="BI74">
        <v>42</v>
      </c>
      <c r="BJ74" t="s">
        <v>1324</v>
      </c>
      <c r="BK74" t="s">
        <v>1325</v>
      </c>
      <c r="BL74" t="s">
        <v>1326</v>
      </c>
      <c r="BM74" t="s">
        <v>1327</v>
      </c>
      <c r="BN74" t="s">
        <v>74</v>
      </c>
      <c r="BO74" t="s">
        <v>74</v>
      </c>
      <c r="BP74" t="s">
        <v>74</v>
      </c>
      <c r="BQ74" t="s">
        <v>74</v>
      </c>
      <c r="BR74" t="s">
        <v>101</v>
      </c>
      <c r="BS74" t="s">
        <v>1328</v>
      </c>
      <c r="BT74" t="str">
        <f>HYPERLINK("https%3A%2F%2Fwww.webofscience.com%2Fwos%2Fwoscc%2Ffull-record%2FWOS:000244031300017","View Full Record in Web of Science")</f>
        <v>View Full Record in Web of Science</v>
      </c>
    </row>
    <row r="75" spans="1:72" x14ac:dyDescent="0.15">
      <c r="A75" t="s">
        <v>72</v>
      </c>
      <c r="B75" t="s">
        <v>1329</v>
      </c>
      <c r="C75" t="s">
        <v>74</v>
      </c>
      <c r="D75" t="s">
        <v>74</v>
      </c>
      <c r="E75" t="s">
        <v>74</v>
      </c>
      <c r="F75" t="s">
        <v>1330</v>
      </c>
      <c r="G75" t="s">
        <v>74</v>
      </c>
      <c r="H75" t="s">
        <v>74</v>
      </c>
      <c r="I75" t="s">
        <v>1331</v>
      </c>
      <c r="J75" t="s">
        <v>1332</v>
      </c>
      <c r="K75" t="s">
        <v>74</v>
      </c>
      <c r="L75" t="s">
        <v>74</v>
      </c>
      <c r="M75" t="s">
        <v>1333</v>
      </c>
      <c r="N75" t="s">
        <v>78</v>
      </c>
      <c r="O75" t="s">
        <v>74</v>
      </c>
      <c r="P75" t="s">
        <v>74</v>
      </c>
      <c r="Q75" t="s">
        <v>74</v>
      </c>
      <c r="R75" t="s">
        <v>74</v>
      </c>
      <c r="S75" t="s">
        <v>74</v>
      </c>
      <c r="T75" t="s">
        <v>1334</v>
      </c>
      <c r="U75" t="s">
        <v>74</v>
      </c>
      <c r="V75" t="s">
        <v>1335</v>
      </c>
      <c r="W75" t="s">
        <v>1336</v>
      </c>
      <c r="X75" t="s">
        <v>1337</v>
      </c>
      <c r="Y75" t="s">
        <v>1338</v>
      </c>
      <c r="Z75" t="s">
        <v>1339</v>
      </c>
      <c r="AA75" t="s">
        <v>1340</v>
      </c>
      <c r="AB75" t="s">
        <v>74</v>
      </c>
      <c r="AC75" t="s">
        <v>74</v>
      </c>
      <c r="AD75" t="s">
        <v>74</v>
      </c>
      <c r="AE75" t="s">
        <v>74</v>
      </c>
      <c r="AF75" t="s">
        <v>74</v>
      </c>
      <c r="AG75">
        <v>42</v>
      </c>
      <c r="AH75">
        <v>0</v>
      </c>
      <c r="AI75">
        <v>0</v>
      </c>
      <c r="AJ75">
        <v>0</v>
      </c>
      <c r="AK75">
        <v>0</v>
      </c>
      <c r="AL75" t="s">
        <v>1341</v>
      </c>
      <c r="AM75" t="s">
        <v>1342</v>
      </c>
      <c r="AN75" t="s">
        <v>1343</v>
      </c>
      <c r="AO75" t="s">
        <v>1344</v>
      </c>
      <c r="AP75" t="s">
        <v>1345</v>
      </c>
      <c r="AQ75" t="s">
        <v>74</v>
      </c>
      <c r="AR75" t="s">
        <v>1346</v>
      </c>
      <c r="AS75" t="s">
        <v>1347</v>
      </c>
      <c r="AT75" t="s">
        <v>74</v>
      </c>
      <c r="AU75">
        <v>2006</v>
      </c>
      <c r="AV75">
        <v>18</v>
      </c>
      <c r="AW75" t="s">
        <v>74</v>
      </c>
      <c r="AX75" t="s">
        <v>74</v>
      </c>
      <c r="AY75" t="s">
        <v>74</v>
      </c>
      <c r="AZ75" t="s">
        <v>74</v>
      </c>
      <c r="BA75" t="s">
        <v>74</v>
      </c>
      <c r="BB75">
        <v>205</v>
      </c>
      <c r="BC75">
        <v>227</v>
      </c>
      <c r="BD75" t="s">
        <v>74</v>
      </c>
      <c r="BE75" t="s">
        <v>74</v>
      </c>
      <c r="BF75" t="s">
        <v>74</v>
      </c>
      <c r="BG75" t="s">
        <v>74</v>
      </c>
      <c r="BH75" t="s">
        <v>74</v>
      </c>
      <c r="BI75">
        <v>23</v>
      </c>
      <c r="BJ75" t="s">
        <v>1348</v>
      </c>
      <c r="BK75" t="s">
        <v>1219</v>
      </c>
      <c r="BL75" t="s">
        <v>1348</v>
      </c>
      <c r="BM75" t="s">
        <v>1349</v>
      </c>
      <c r="BN75" t="s">
        <v>74</v>
      </c>
      <c r="BO75" t="s">
        <v>74</v>
      </c>
      <c r="BP75" t="s">
        <v>74</v>
      </c>
      <c r="BQ75" t="s">
        <v>74</v>
      </c>
      <c r="BR75" t="s">
        <v>101</v>
      </c>
      <c r="BS75" t="s">
        <v>1350</v>
      </c>
      <c r="BT75" t="str">
        <f>HYPERLINK("https%3A%2F%2Fwww.webofscience.com%2Fwos%2Fwoscc%2Ffull-record%2FWOS:000215039000011","View Full Record in Web of Science")</f>
        <v>View Full Record in Web of Science</v>
      </c>
    </row>
    <row r="76" spans="1:72" x14ac:dyDescent="0.15">
      <c r="A76" t="s">
        <v>577</v>
      </c>
      <c r="B76" t="s">
        <v>1351</v>
      </c>
      <c r="C76" t="s">
        <v>74</v>
      </c>
      <c r="D76" t="s">
        <v>1352</v>
      </c>
      <c r="E76" t="s">
        <v>74</v>
      </c>
      <c r="F76" t="s">
        <v>1353</v>
      </c>
      <c r="G76" t="s">
        <v>74</v>
      </c>
      <c r="H76" t="s">
        <v>74</v>
      </c>
      <c r="I76" t="s">
        <v>1354</v>
      </c>
      <c r="J76" t="s">
        <v>1355</v>
      </c>
      <c r="K76" t="s">
        <v>1356</v>
      </c>
      <c r="L76" t="s">
        <v>74</v>
      </c>
      <c r="M76" t="s">
        <v>77</v>
      </c>
      <c r="N76" t="s">
        <v>381</v>
      </c>
      <c r="O76" t="s">
        <v>74</v>
      </c>
      <c r="P76" t="s">
        <v>74</v>
      </c>
      <c r="Q76" t="s">
        <v>74</v>
      </c>
      <c r="R76" t="s">
        <v>74</v>
      </c>
      <c r="S76" t="s">
        <v>74</v>
      </c>
      <c r="T76" t="s">
        <v>74</v>
      </c>
      <c r="U76" t="s">
        <v>1357</v>
      </c>
      <c r="V76" t="s">
        <v>1358</v>
      </c>
      <c r="W76" t="s">
        <v>1359</v>
      </c>
      <c r="X76" t="s">
        <v>1360</v>
      </c>
      <c r="Y76" t="s">
        <v>1361</v>
      </c>
      <c r="Z76" t="s">
        <v>74</v>
      </c>
      <c r="AA76" t="s">
        <v>74</v>
      </c>
      <c r="AB76" t="s">
        <v>74</v>
      </c>
      <c r="AC76" t="s">
        <v>74</v>
      </c>
      <c r="AD76" t="s">
        <v>74</v>
      </c>
      <c r="AE76" t="s">
        <v>74</v>
      </c>
      <c r="AF76" t="s">
        <v>74</v>
      </c>
      <c r="AG76">
        <v>109</v>
      </c>
      <c r="AH76">
        <v>3</v>
      </c>
      <c r="AI76">
        <v>4</v>
      </c>
      <c r="AJ76">
        <v>0</v>
      </c>
      <c r="AK76">
        <v>1</v>
      </c>
      <c r="AL76" t="s">
        <v>1362</v>
      </c>
      <c r="AM76" t="s">
        <v>1148</v>
      </c>
      <c r="AN76" t="s">
        <v>1149</v>
      </c>
      <c r="AO76" t="s">
        <v>1363</v>
      </c>
      <c r="AP76" t="s">
        <v>74</v>
      </c>
      <c r="AQ76" t="s">
        <v>1364</v>
      </c>
      <c r="AR76" t="s">
        <v>1365</v>
      </c>
      <c r="AS76" t="s">
        <v>74</v>
      </c>
      <c r="AT76" t="s">
        <v>74</v>
      </c>
      <c r="AU76">
        <v>2006</v>
      </c>
      <c r="AV76">
        <v>2</v>
      </c>
      <c r="AW76" t="s">
        <v>74</v>
      </c>
      <c r="AX76" t="s">
        <v>74</v>
      </c>
      <c r="AY76" t="s">
        <v>74</v>
      </c>
      <c r="AZ76" t="s">
        <v>74</v>
      </c>
      <c r="BA76" t="s">
        <v>74</v>
      </c>
      <c r="BB76">
        <v>215</v>
      </c>
      <c r="BC76">
        <v>252</v>
      </c>
      <c r="BD76" t="s">
        <v>74</v>
      </c>
      <c r="BE76" t="s">
        <v>1366</v>
      </c>
      <c r="BF76" t="str">
        <f>HYPERLINK("http://dx.doi.org/10.1016/S1872-0358(06)02007-0","http://dx.doi.org/10.1016/S1872-0358(06)02007-0")</f>
        <v>http://dx.doi.org/10.1016/S1872-0358(06)02007-0</v>
      </c>
      <c r="BG76" t="s">
        <v>74</v>
      </c>
      <c r="BH76" t="s">
        <v>74</v>
      </c>
      <c r="BI76">
        <v>38</v>
      </c>
      <c r="BJ76" t="s">
        <v>1367</v>
      </c>
      <c r="BK76" t="s">
        <v>609</v>
      </c>
      <c r="BL76" t="s">
        <v>1245</v>
      </c>
      <c r="BM76" t="s">
        <v>1368</v>
      </c>
      <c r="BN76" t="s">
        <v>74</v>
      </c>
      <c r="BO76" t="s">
        <v>74</v>
      </c>
      <c r="BP76" t="s">
        <v>74</v>
      </c>
      <c r="BQ76" t="s">
        <v>74</v>
      </c>
      <c r="BR76" t="s">
        <v>101</v>
      </c>
      <c r="BS76" t="s">
        <v>1369</v>
      </c>
      <c r="BT76" t="str">
        <f>HYPERLINK("https%3A%2F%2Fwww.webofscience.com%2Fwos%2Fwoscc%2Ffull-record%2FWOS:000313122200008","View Full Record in Web of Science")</f>
        <v>View Full Record in Web of Science</v>
      </c>
    </row>
    <row r="77" spans="1:72" x14ac:dyDescent="0.15">
      <c r="A77" t="s">
        <v>72</v>
      </c>
      <c r="B77" t="s">
        <v>1370</v>
      </c>
      <c r="C77" t="s">
        <v>74</v>
      </c>
      <c r="D77" t="s">
        <v>74</v>
      </c>
      <c r="E77" t="s">
        <v>74</v>
      </c>
      <c r="F77" t="s">
        <v>1371</v>
      </c>
      <c r="G77" t="s">
        <v>74</v>
      </c>
      <c r="H77" t="s">
        <v>74</v>
      </c>
      <c r="I77" t="s">
        <v>1372</v>
      </c>
      <c r="J77" t="s">
        <v>1373</v>
      </c>
      <c r="K77" t="s">
        <v>74</v>
      </c>
      <c r="L77" t="s">
        <v>74</v>
      </c>
      <c r="M77" t="s">
        <v>77</v>
      </c>
      <c r="N77" t="s">
        <v>289</v>
      </c>
      <c r="O77" t="s">
        <v>74</v>
      </c>
      <c r="P77" t="s">
        <v>74</v>
      </c>
      <c r="Q77" t="s">
        <v>74</v>
      </c>
      <c r="R77" t="s">
        <v>74</v>
      </c>
      <c r="S77" t="s">
        <v>74</v>
      </c>
      <c r="T77" t="s">
        <v>1374</v>
      </c>
      <c r="U77" t="s">
        <v>1375</v>
      </c>
      <c r="V77" t="s">
        <v>1376</v>
      </c>
      <c r="W77" t="s">
        <v>1377</v>
      </c>
      <c r="X77" t="s">
        <v>1378</v>
      </c>
      <c r="Y77" t="s">
        <v>1379</v>
      </c>
      <c r="Z77" t="s">
        <v>1380</v>
      </c>
      <c r="AA77" t="s">
        <v>74</v>
      </c>
      <c r="AB77" t="s">
        <v>74</v>
      </c>
      <c r="AC77" t="s">
        <v>74</v>
      </c>
      <c r="AD77" t="s">
        <v>74</v>
      </c>
      <c r="AE77" t="s">
        <v>74</v>
      </c>
      <c r="AF77" t="s">
        <v>74</v>
      </c>
      <c r="AG77">
        <v>110</v>
      </c>
      <c r="AH77">
        <v>49</v>
      </c>
      <c r="AI77">
        <v>60</v>
      </c>
      <c r="AJ77">
        <v>5</v>
      </c>
      <c r="AK77">
        <v>50</v>
      </c>
      <c r="AL77" t="s">
        <v>1381</v>
      </c>
      <c r="AM77" t="s">
        <v>1382</v>
      </c>
      <c r="AN77" t="s">
        <v>1383</v>
      </c>
      <c r="AO77" t="s">
        <v>1384</v>
      </c>
      <c r="AP77" t="s">
        <v>1385</v>
      </c>
      <c r="AQ77" t="s">
        <v>74</v>
      </c>
      <c r="AR77" t="s">
        <v>1386</v>
      </c>
      <c r="AS77" t="s">
        <v>1387</v>
      </c>
      <c r="AT77" t="s">
        <v>74</v>
      </c>
      <c r="AU77">
        <v>2006</v>
      </c>
      <c r="AV77">
        <v>77</v>
      </c>
      <c r="AW77">
        <v>6</v>
      </c>
      <c r="AX77" t="s">
        <v>74</v>
      </c>
      <c r="AY77" t="s">
        <v>74</v>
      </c>
      <c r="AZ77" t="s">
        <v>74</v>
      </c>
      <c r="BA77" t="s">
        <v>74</v>
      </c>
      <c r="BB77">
        <v>399</v>
      </c>
      <c r="BC77">
        <v>418</v>
      </c>
      <c r="BD77" t="s">
        <v>74</v>
      </c>
      <c r="BE77" t="s">
        <v>1388</v>
      </c>
      <c r="BF77" t="str">
        <f>HYPERLINK("http://dx.doi.org/10.1159/000095388","http://dx.doi.org/10.1159/000095388")</f>
        <v>http://dx.doi.org/10.1159/000095388</v>
      </c>
      <c r="BG77" t="s">
        <v>74</v>
      </c>
      <c r="BH77" t="s">
        <v>74</v>
      </c>
      <c r="BI77">
        <v>20</v>
      </c>
      <c r="BJ77" t="s">
        <v>532</v>
      </c>
      <c r="BK77" t="s">
        <v>1389</v>
      </c>
      <c r="BL77" t="s">
        <v>532</v>
      </c>
      <c r="BM77" t="s">
        <v>1390</v>
      </c>
      <c r="BN77">
        <v>17053327</v>
      </c>
      <c r="BO77" t="s">
        <v>74</v>
      </c>
      <c r="BP77" t="s">
        <v>74</v>
      </c>
      <c r="BQ77" t="s">
        <v>74</v>
      </c>
      <c r="BR77" t="s">
        <v>101</v>
      </c>
      <c r="BS77" t="s">
        <v>1391</v>
      </c>
      <c r="BT77" t="str">
        <f>HYPERLINK("https%3A%2F%2Fwww.webofscience.com%2Fwos%2Fwoscc%2Ffull-record%2FWOS:000241664800001","View Full Record in Web of Science")</f>
        <v>View Full Record in Web of Science</v>
      </c>
    </row>
    <row r="78" spans="1:72" x14ac:dyDescent="0.15">
      <c r="A78" t="s">
        <v>72</v>
      </c>
      <c r="B78" t="s">
        <v>1392</v>
      </c>
      <c r="C78" t="s">
        <v>74</v>
      </c>
      <c r="D78" t="s">
        <v>74</v>
      </c>
      <c r="E78" t="s">
        <v>74</v>
      </c>
      <c r="F78" t="s">
        <v>1392</v>
      </c>
      <c r="G78" t="s">
        <v>74</v>
      </c>
      <c r="H78" t="s">
        <v>74</v>
      </c>
      <c r="I78" t="s">
        <v>1393</v>
      </c>
      <c r="J78" t="s">
        <v>1394</v>
      </c>
      <c r="K78" t="s">
        <v>74</v>
      </c>
      <c r="L78" t="s">
        <v>74</v>
      </c>
      <c r="M78" t="s">
        <v>77</v>
      </c>
      <c r="N78" t="s">
        <v>335</v>
      </c>
      <c r="O78" t="s">
        <v>1395</v>
      </c>
      <c r="P78">
        <v>2005</v>
      </c>
      <c r="Q78" t="s">
        <v>1396</v>
      </c>
      <c r="R78" t="s">
        <v>74</v>
      </c>
      <c r="S78" t="s">
        <v>74</v>
      </c>
      <c r="T78" t="s">
        <v>1397</v>
      </c>
      <c r="U78" t="s">
        <v>1398</v>
      </c>
      <c r="V78" t="s">
        <v>1399</v>
      </c>
      <c r="W78" t="s">
        <v>1400</v>
      </c>
      <c r="X78" t="s">
        <v>1401</v>
      </c>
      <c r="Y78" t="s">
        <v>1402</v>
      </c>
      <c r="Z78" t="s">
        <v>1403</v>
      </c>
      <c r="AA78" t="s">
        <v>1404</v>
      </c>
      <c r="AB78" t="s">
        <v>1405</v>
      </c>
      <c r="AC78" t="s">
        <v>74</v>
      </c>
      <c r="AD78" t="s">
        <v>74</v>
      </c>
      <c r="AE78" t="s">
        <v>74</v>
      </c>
      <c r="AF78" t="s">
        <v>74</v>
      </c>
      <c r="AG78">
        <v>48</v>
      </c>
      <c r="AH78">
        <v>64</v>
      </c>
      <c r="AI78">
        <v>69</v>
      </c>
      <c r="AJ78">
        <v>1</v>
      </c>
      <c r="AK78">
        <v>38</v>
      </c>
      <c r="AL78" t="s">
        <v>1236</v>
      </c>
      <c r="AM78" t="s">
        <v>1237</v>
      </c>
      <c r="AN78" t="s">
        <v>1238</v>
      </c>
      <c r="AO78" t="s">
        <v>1406</v>
      </c>
      <c r="AP78" t="s">
        <v>1407</v>
      </c>
      <c r="AQ78" t="s">
        <v>74</v>
      </c>
      <c r="AR78" t="s">
        <v>1408</v>
      </c>
      <c r="AS78" t="s">
        <v>1409</v>
      </c>
      <c r="AT78" t="s">
        <v>74</v>
      </c>
      <c r="AU78">
        <v>2006</v>
      </c>
      <c r="AV78">
        <v>33</v>
      </c>
      <c r="AW78">
        <v>5</v>
      </c>
      <c r="AX78" t="s">
        <v>74</v>
      </c>
      <c r="AY78" t="s">
        <v>74</v>
      </c>
      <c r="AZ78" t="s">
        <v>74</v>
      </c>
      <c r="BA78" t="s">
        <v>74</v>
      </c>
      <c r="BB78">
        <v>443</v>
      </c>
      <c r="BC78">
        <v>455</v>
      </c>
      <c r="BD78" t="s">
        <v>74</v>
      </c>
      <c r="BE78" t="s">
        <v>1410</v>
      </c>
      <c r="BF78" t="str">
        <f>HYPERLINK("http://dx.doi.org/10.1071/FP05306","http://dx.doi.org/10.1071/FP05306")</f>
        <v>http://dx.doi.org/10.1071/FP05306</v>
      </c>
      <c r="BG78" t="s">
        <v>74</v>
      </c>
      <c r="BH78" t="s">
        <v>74</v>
      </c>
      <c r="BI78">
        <v>13</v>
      </c>
      <c r="BJ78" t="s">
        <v>574</v>
      </c>
      <c r="BK78" t="s">
        <v>1411</v>
      </c>
      <c r="BL78" t="s">
        <v>574</v>
      </c>
      <c r="BM78" t="s">
        <v>1412</v>
      </c>
      <c r="BN78">
        <v>32689251</v>
      </c>
      <c r="BO78" t="s">
        <v>534</v>
      </c>
      <c r="BP78" t="s">
        <v>74</v>
      </c>
      <c r="BQ78" t="s">
        <v>74</v>
      </c>
      <c r="BR78" t="s">
        <v>101</v>
      </c>
      <c r="BS78" t="s">
        <v>1413</v>
      </c>
      <c r="BT78" t="str">
        <f>HYPERLINK("https%3A%2F%2Fwww.webofscience.com%2Fwos%2Fwoscc%2Ffull-record%2FWOS:000237212700005","View Full Record in Web of Science")</f>
        <v>View Full Record in Web of Science</v>
      </c>
    </row>
    <row r="79" spans="1:72" x14ac:dyDescent="0.15">
      <c r="A79" t="s">
        <v>297</v>
      </c>
      <c r="B79" t="s">
        <v>1414</v>
      </c>
      <c r="C79" t="s">
        <v>74</v>
      </c>
      <c r="D79" t="s">
        <v>1415</v>
      </c>
      <c r="E79" t="s">
        <v>74</v>
      </c>
      <c r="F79" t="s">
        <v>1416</v>
      </c>
      <c r="G79" t="s">
        <v>74</v>
      </c>
      <c r="H79" t="s">
        <v>74</v>
      </c>
      <c r="I79" t="s">
        <v>1417</v>
      </c>
      <c r="J79" t="s">
        <v>1418</v>
      </c>
      <c r="K79" t="s">
        <v>1419</v>
      </c>
      <c r="L79" t="s">
        <v>74</v>
      </c>
      <c r="M79" t="s">
        <v>77</v>
      </c>
      <c r="N79" t="s">
        <v>304</v>
      </c>
      <c r="O79" t="s">
        <v>1420</v>
      </c>
      <c r="P79" t="s">
        <v>1421</v>
      </c>
      <c r="Q79" t="s">
        <v>1422</v>
      </c>
      <c r="R79" t="s">
        <v>74</v>
      </c>
      <c r="S79" t="s">
        <v>74</v>
      </c>
      <c r="T79" t="s">
        <v>1423</v>
      </c>
      <c r="U79" t="s">
        <v>1424</v>
      </c>
      <c r="V79" t="s">
        <v>1425</v>
      </c>
      <c r="W79" t="s">
        <v>1426</v>
      </c>
      <c r="X79" t="s">
        <v>1427</v>
      </c>
      <c r="Y79" t="s">
        <v>1428</v>
      </c>
      <c r="Z79" t="s">
        <v>1429</v>
      </c>
      <c r="AA79" t="s">
        <v>1430</v>
      </c>
      <c r="AB79" t="s">
        <v>74</v>
      </c>
      <c r="AC79" t="s">
        <v>1431</v>
      </c>
      <c r="AD79" t="s">
        <v>1432</v>
      </c>
      <c r="AE79" t="s">
        <v>1433</v>
      </c>
      <c r="AF79" t="s">
        <v>74</v>
      </c>
      <c r="AG79">
        <v>23</v>
      </c>
      <c r="AH79">
        <v>9</v>
      </c>
      <c r="AI79">
        <v>11</v>
      </c>
      <c r="AJ79">
        <v>0</v>
      </c>
      <c r="AK79">
        <v>1</v>
      </c>
      <c r="AL79" t="s">
        <v>1434</v>
      </c>
      <c r="AM79" t="s">
        <v>140</v>
      </c>
      <c r="AN79" t="s">
        <v>1435</v>
      </c>
      <c r="AO79" t="s">
        <v>1436</v>
      </c>
      <c r="AP79" t="s">
        <v>74</v>
      </c>
      <c r="AQ79" t="s">
        <v>74</v>
      </c>
      <c r="AR79" t="s">
        <v>1437</v>
      </c>
      <c r="AS79" t="s">
        <v>74</v>
      </c>
      <c r="AT79" t="s">
        <v>74</v>
      </c>
      <c r="AU79">
        <v>2006</v>
      </c>
      <c r="AV79">
        <v>38</v>
      </c>
      <c r="AW79">
        <v>7</v>
      </c>
      <c r="AX79" t="s">
        <v>74</v>
      </c>
      <c r="AY79" t="s">
        <v>74</v>
      </c>
      <c r="AZ79" t="s">
        <v>74</v>
      </c>
      <c r="BA79" t="s">
        <v>74</v>
      </c>
      <c r="BB79">
        <v>1307</v>
      </c>
      <c r="BC79" t="s">
        <v>1059</v>
      </c>
      <c r="BD79" t="s">
        <v>74</v>
      </c>
      <c r="BE79" t="s">
        <v>1438</v>
      </c>
      <c r="BF79" t="str">
        <f>HYPERLINK("http://dx.doi.org/10.1016/j.asr.2004.11.006","http://dx.doi.org/10.1016/j.asr.2004.11.006")</f>
        <v>http://dx.doi.org/10.1016/j.asr.2004.11.006</v>
      </c>
      <c r="BG79" t="s">
        <v>74</v>
      </c>
      <c r="BH79" t="s">
        <v>74</v>
      </c>
      <c r="BI79">
        <v>3</v>
      </c>
      <c r="BJ79" t="s">
        <v>1439</v>
      </c>
      <c r="BK79" t="s">
        <v>328</v>
      </c>
      <c r="BL79" t="s">
        <v>1440</v>
      </c>
      <c r="BM79" t="s">
        <v>1441</v>
      </c>
      <c r="BN79" t="s">
        <v>74</v>
      </c>
      <c r="BO79" t="s">
        <v>74</v>
      </c>
      <c r="BP79" t="s">
        <v>74</v>
      </c>
      <c r="BQ79" t="s">
        <v>74</v>
      </c>
      <c r="BR79" t="s">
        <v>101</v>
      </c>
      <c r="BS79" t="s">
        <v>1442</v>
      </c>
      <c r="BT79" t="str">
        <f>HYPERLINK("https%3A%2F%2Fwww.webofscience.com%2Fwos%2Fwoscc%2Ffull-record%2FWOS:000245034500008","View Full Record in Web of Science")</f>
        <v>View Full Record in Web of Science</v>
      </c>
    </row>
    <row r="80" spans="1:72" x14ac:dyDescent="0.15">
      <c r="A80" t="s">
        <v>297</v>
      </c>
      <c r="B80" t="s">
        <v>1443</v>
      </c>
      <c r="C80" t="s">
        <v>74</v>
      </c>
      <c r="D80" t="s">
        <v>1444</v>
      </c>
      <c r="E80" t="s">
        <v>74</v>
      </c>
      <c r="F80" t="s">
        <v>1445</v>
      </c>
      <c r="G80" t="s">
        <v>74</v>
      </c>
      <c r="H80" t="s">
        <v>74</v>
      </c>
      <c r="I80" t="s">
        <v>1446</v>
      </c>
      <c r="J80" t="s">
        <v>1447</v>
      </c>
      <c r="K80" t="s">
        <v>1448</v>
      </c>
      <c r="L80" t="s">
        <v>74</v>
      </c>
      <c r="M80" t="s">
        <v>77</v>
      </c>
      <c r="N80" t="s">
        <v>304</v>
      </c>
      <c r="O80" t="s">
        <v>1449</v>
      </c>
      <c r="P80" t="s">
        <v>1450</v>
      </c>
      <c r="Q80" t="s">
        <v>1451</v>
      </c>
      <c r="R80" t="s">
        <v>74</v>
      </c>
      <c r="S80" t="s">
        <v>74</v>
      </c>
      <c r="T80" t="s">
        <v>1452</v>
      </c>
      <c r="U80" t="s">
        <v>1453</v>
      </c>
      <c r="V80" t="s">
        <v>1454</v>
      </c>
      <c r="W80" t="s">
        <v>1455</v>
      </c>
      <c r="X80" t="s">
        <v>1456</v>
      </c>
      <c r="Y80" t="s">
        <v>1457</v>
      </c>
      <c r="Z80" t="s">
        <v>74</v>
      </c>
      <c r="AA80" t="s">
        <v>1458</v>
      </c>
      <c r="AB80" t="s">
        <v>74</v>
      </c>
      <c r="AC80" t="s">
        <v>74</v>
      </c>
      <c r="AD80" t="s">
        <v>74</v>
      </c>
      <c r="AE80" t="s">
        <v>74</v>
      </c>
      <c r="AF80" t="s">
        <v>74</v>
      </c>
      <c r="AG80">
        <v>14</v>
      </c>
      <c r="AH80">
        <v>7</v>
      </c>
      <c r="AI80">
        <v>8</v>
      </c>
      <c r="AJ80">
        <v>0</v>
      </c>
      <c r="AK80">
        <v>0</v>
      </c>
      <c r="AL80" t="s">
        <v>1459</v>
      </c>
      <c r="AM80" t="s">
        <v>1460</v>
      </c>
      <c r="AN80" t="s">
        <v>1461</v>
      </c>
      <c r="AO80" t="s">
        <v>1462</v>
      </c>
      <c r="AP80" t="s">
        <v>74</v>
      </c>
      <c r="AQ80" t="s">
        <v>1463</v>
      </c>
      <c r="AR80" t="s">
        <v>1464</v>
      </c>
      <c r="AS80" t="s">
        <v>74</v>
      </c>
      <c r="AT80" t="s">
        <v>74</v>
      </c>
      <c r="AU80">
        <v>2006</v>
      </c>
      <c r="AV80">
        <v>836</v>
      </c>
      <c r="AW80" t="s">
        <v>74</v>
      </c>
      <c r="AX80" t="s">
        <v>74</v>
      </c>
      <c r="AY80" t="s">
        <v>74</v>
      </c>
      <c r="AZ80" t="s">
        <v>74</v>
      </c>
      <c r="BA80" t="s">
        <v>74</v>
      </c>
      <c r="BB80">
        <v>599</v>
      </c>
      <c r="BC80" t="s">
        <v>1059</v>
      </c>
      <c r="BD80" t="s">
        <v>74</v>
      </c>
      <c r="BE80" t="s">
        <v>74</v>
      </c>
      <c r="BF80" t="s">
        <v>74</v>
      </c>
      <c r="BG80" t="s">
        <v>74</v>
      </c>
      <c r="BH80" t="s">
        <v>74</v>
      </c>
      <c r="BI80">
        <v>2</v>
      </c>
      <c r="BJ80" t="s">
        <v>1465</v>
      </c>
      <c r="BK80" t="s">
        <v>328</v>
      </c>
      <c r="BL80" t="s">
        <v>1466</v>
      </c>
      <c r="BM80" t="s">
        <v>1467</v>
      </c>
      <c r="BN80" t="s">
        <v>74</v>
      </c>
      <c r="BO80" t="s">
        <v>1468</v>
      </c>
      <c r="BP80" t="s">
        <v>74</v>
      </c>
      <c r="BQ80" t="s">
        <v>74</v>
      </c>
      <c r="BR80" t="s">
        <v>101</v>
      </c>
      <c r="BS80" t="s">
        <v>1469</v>
      </c>
      <c r="BT80" t="str">
        <f>HYPERLINK("https%3A%2F%2Fwww.webofscience.com%2Fwos%2Fwoscc%2Ffull-record%2FWOS:000238125000111","View Full Record in Web of Science")</f>
        <v>View Full Record in Web of Science</v>
      </c>
    </row>
    <row r="81" spans="1:72" x14ac:dyDescent="0.15">
      <c r="A81" t="s">
        <v>72</v>
      </c>
      <c r="B81" t="s">
        <v>1470</v>
      </c>
      <c r="C81" t="s">
        <v>74</v>
      </c>
      <c r="D81" t="s">
        <v>74</v>
      </c>
      <c r="E81" t="s">
        <v>74</v>
      </c>
      <c r="F81" t="s">
        <v>1470</v>
      </c>
      <c r="G81" t="s">
        <v>74</v>
      </c>
      <c r="H81" t="s">
        <v>74</v>
      </c>
      <c r="I81" t="s">
        <v>1471</v>
      </c>
      <c r="J81" t="s">
        <v>1472</v>
      </c>
      <c r="K81" t="s">
        <v>74</v>
      </c>
      <c r="L81" t="s">
        <v>74</v>
      </c>
      <c r="M81" t="s">
        <v>77</v>
      </c>
      <c r="N81" t="s">
        <v>78</v>
      </c>
      <c r="O81" t="s">
        <v>74</v>
      </c>
      <c r="P81" t="s">
        <v>74</v>
      </c>
      <c r="Q81" t="s">
        <v>74</v>
      </c>
      <c r="R81" t="s">
        <v>74</v>
      </c>
      <c r="S81" t="s">
        <v>74</v>
      </c>
      <c r="T81" t="s">
        <v>74</v>
      </c>
      <c r="U81" t="s">
        <v>1473</v>
      </c>
      <c r="V81" t="s">
        <v>1474</v>
      </c>
      <c r="W81" t="s">
        <v>1475</v>
      </c>
      <c r="X81" t="s">
        <v>1476</v>
      </c>
      <c r="Y81" t="s">
        <v>1477</v>
      </c>
      <c r="Z81" t="s">
        <v>1478</v>
      </c>
      <c r="AA81" t="s">
        <v>1479</v>
      </c>
      <c r="AB81" t="s">
        <v>1480</v>
      </c>
      <c r="AC81" t="s">
        <v>74</v>
      </c>
      <c r="AD81" t="s">
        <v>74</v>
      </c>
      <c r="AE81" t="s">
        <v>74</v>
      </c>
      <c r="AF81" t="s">
        <v>74</v>
      </c>
      <c r="AG81">
        <v>88</v>
      </c>
      <c r="AH81">
        <v>65</v>
      </c>
      <c r="AI81">
        <v>71</v>
      </c>
      <c r="AJ81">
        <v>1</v>
      </c>
      <c r="AK81">
        <v>17</v>
      </c>
      <c r="AL81" t="s">
        <v>622</v>
      </c>
      <c r="AM81" t="s">
        <v>140</v>
      </c>
      <c r="AN81" t="s">
        <v>623</v>
      </c>
      <c r="AO81" t="s">
        <v>1481</v>
      </c>
      <c r="AP81" t="s">
        <v>1482</v>
      </c>
      <c r="AQ81" t="s">
        <v>74</v>
      </c>
      <c r="AR81" t="s">
        <v>1483</v>
      </c>
      <c r="AS81" t="s">
        <v>1484</v>
      </c>
      <c r="AT81" t="s">
        <v>1485</v>
      </c>
      <c r="AU81">
        <v>2006</v>
      </c>
      <c r="AV81">
        <v>70</v>
      </c>
      <c r="AW81">
        <v>1</v>
      </c>
      <c r="AX81" t="s">
        <v>74</v>
      </c>
      <c r="AY81" t="s">
        <v>74</v>
      </c>
      <c r="AZ81" t="s">
        <v>74</v>
      </c>
      <c r="BA81" t="s">
        <v>74</v>
      </c>
      <c r="BB81">
        <v>246</v>
      </c>
      <c r="BC81">
        <v>264</v>
      </c>
      <c r="BD81" t="s">
        <v>74</v>
      </c>
      <c r="BE81" t="s">
        <v>1486</v>
      </c>
      <c r="BF81" t="str">
        <f>HYPERLINK("http://dx.doi.org/10.1016/j.gca.2005.08.018","http://dx.doi.org/10.1016/j.gca.2005.08.018")</f>
        <v>http://dx.doi.org/10.1016/j.gca.2005.08.018</v>
      </c>
      <c r="BG81" t="s">
        <v>74</v>
      </c>
      <c r="BH81" t="s">
        <v>74</v>
      </c>
      <c r="BI81">
        <v>19</v>
      </c>
      <c r="BJ81" t="s">
        <v>1348</v>
      </c>
      <c r="BK81" t="s">
        <v>98</v>
      </c>
      <c r="BL81" t="s">
        <v>1348</v>
      </c>
      <c r="BM81" t="s">
        <v>1487</v>
      </c>
      <c r="BN81" t="s">
        <v>74</v>
      </c>
      <c r="BO81" t="s">
        <v>74</v>
      </c>
      <c r="BP81" t="s">
        <v>74</v>
      </c>
      <c r="BQ81" t="s">
        <v>74</v>
      </c>
      <c r="BR81" t="s">
        <v>101</v>
      </c>
      <c r="BS81" t="s">
        <v>1488</v>
      </c>
      <c r="BT81" t="str">
        <f>HYPERLINK("https%3A%2F%2Fwww.webofscience.com%2Fwos%2Fwoscc%2Ffull-record%2FWOS:000234675300016","View Full Record in Web of Science")</f>
        <v>View Full Record in Web of Science</v>
      </c>
    </row>
    <row r="82" spans="1:72" x14ac:dyDescent="0.15">
      <c r="A82" t="s">
        <v>297</v>
      </c>
      <c r="B82" t="s">
        <v>1489</v>
      </c>
      <c r="C82" t="s">
        <v>74</v>
      </c>
      <c r="D82" t="s">
        <v>1490</v>
      </c>
      <c r="E82" t="s">
        <v>74</v>
      </c>
      <c r="F82" t="s">
        <v>1491</v>
      </c>
      <c r="G82" t="s">
        <v>74</v>
      </c>
      <c r="H82" t="s">
        <v>74</v>
      </c>
      <c r="I82" t="s">
        <v>1492</v>
      </c>
      <c r="J82" t="s">
        <v>1493</v>
      </c>
      <c r="K82" t="s">
        <v>1494</v>
      </c>
      <c r="L82" t="s">
        <v>74</v>
      </c>
      <c r="M82" t="s">
        <v>77</v>
      </c>
      <c r="N82" t="s">
        <v>304</v>
      </c>
      <c r="O82" t="s">
        <v>1495</v>
      </c>
      <c r="P82" t="s">
        <v>1496</v>
      </c>
      <c r="Q82" t="s">
        <v>1497</v>
      </c>
      <c r="R82" t="s">
        <v>74</v>
      </c>
      <c r="S82" t="s">
        <v>74</v>
      </c>
      <c r="T82" t="s">
        <v>1498</v>
      </c>
      <c r="U82" t="s">
        <v>74</v>
      </c>
      <c r="V82" t="s">
        <v>1499</v>
      </c>
      <c r="W82" t="s">
        <v>1500</v>
      </c>
      <c r="X82" t="s">
        <v>1501</v>
      </c>
      <c r="Y82" t="s">
        <v>1502</v>
      </c>
      <c r="Z82" t="s">
        <v>74</v>
      </c>
      <c r="AA82" t="s">
        <v>1503</v>
      </c>
      <c r="AB82" t="s">
        <v>1504</v>
      </c>
      <c r="AC82" t="s">
        <v>1505</v>
      </c>
      <c r="AD82" t="s">
        <v>1506</v>
      </c>
      <c r="AE82" t="s">
        <v>1507</v>
      </c>
      <c r="AF82" t="s">
        <v>74</v>
      </c>
      <c r="AG82">
        <v>9</v>
      </c>
      <c r="AH82">
        <v>6</v>
      </c>
      <c r="AI82">
        <v>6</v>
      </c>
      <c r="AJ82">
        <v>0</v>
      </c>
      <c r="AK82">
        <v>1</v>
      </c>
      <c r="AL82" t="s">
        <v>588</v>
      </c>
      <c r="AM82" t="s">
        <v>589</v>
      </c>
      <c r="AN82" t="s">
        <v>590</v>
      </c>
      <c r="AO82" t="s">
        <v>1508</v>
      </c>
      <c r="AP82" t="s">
        <v>74</v>
      </c>
      <c r="AQ82" t="s">
        <v>1509</v>
      </c>
      <c r="AR82" t="s">
        <v>1510</v>
      </c>
      <c r="AS82" t="s">
        <v>74</v>
      </c>
      <c r="AT82" t="s">
        <v>74</v>
      </c>
      <c r="AU82">
        <v>2006</v>
      </c>
      <c r="AV82">
        <v>131</v>
      </c>
      <c r="AW82" t="s">
        <v>74</v>
      </c>
      <c r="AX82" t="s">
        <v>74</v>
      </c>
      <c r="AY82" t="s">
        <v>74</v>
      </c>
      <c r="AZ82" t="s">
        <v>74</v>
      </c>
      <c r="BA82" t="s">
        <v>74</v>
      </c>
      <c r="BB82">
        <v>217</v>
      </c>
      <c r="BC82">
        <v>221</v>
      </c>
      <c r="BD82" t="s">
        <v>74</v>
      </c>
      <c r="BE82" t="s">
        <v>74</v>
      </c>
      <c r="BF82" t="s">
        <v>74</v>
      </c>
      <c r="BG82" t="s">
        <v>74</v>
      </c>
      <c r="BH82" t="s">
        <v>74</v>
      </c>
      <c r="BI82">
        <v>5</v>
      </c>
      <c r="BJ82" t="s">
        <v>1511</v>
      </c>
      <c r="BK82" t="s">
        <v>328</v>
      </c>
      <c r="BL82" t="s">
        <v>1512</v>
      </c>
      <c r="BM82" t="s">
        <v>1513</v>
      </c>
      <c r="BN82" t="s">
        <v>74</v>
      </c>
      <c r="BO82" t="s">
        <v>74</v>
      </c>
      <c r="BP82" t="s">
        <v>74</v>
      </c>
      <c r="BQ82" t="s">
        <v>74</v>
      </c>
      <c r="BR82" t="s">
        <v>101</v>
      </c>
      <c r="BS82" t="s">
        <v>1514</v>
      </c>
      <c r="BT82" t="str">
        <f>HYPERLINK("https%3A%2F%2Fwww.webofscience.com%2Fwos%2Fwoscc%2Ffull-record%2FWOS:000242996700026","View Full Record in Web of Science")</f>
        <v>View Full Record in Web of Science</v>
      </c>
    </row>
    <row r="83" spans="1:72" x14ac:dyDescent="0.15">
      <c r="A83" t="s">
        <v>72</v>
      </c>
      <c r="B83" t="s">
        <v>1515</v>
      </c>
      <c r="C83" t="s">
        <v>74</v>
      </c>
      <c r="D83" t="s">
        <v>74</v>
      </c>
      <c r="E83" t="s">
        <v>74</v>
      </c>
      <c r="F83" t="s">
        <v>1515</v>
      </c>
      <c r="G83" t="s">
        <v>74</v>
      </c>
      <c r="H83" t="s">
        <v>74</v>
      </c>
      <c r="I83" t="s">
        <v>1516</v>
      </c>
      <c r="J83" t="s">
        <v>1517</v>
      </c>
      <c r="K83" t="s">
        <v>74</v>
      </c>
      <c r="L83" t="s">
        <v>74</v>
      </c>
      <c r="M83" t="s">
        <v>77</v>
      </c>
      <c r="N83" t="s">
        <v>78</v>
      </c>
      <c r="O83" t="s">
        <v>74</v>
      </c>
      <c r="P83" t="s">
        <v>74</v>
      </c>
      <c r="Q83" t="s">
        <v>74</v>
      </c>
      <c r="R83" t="s">
        <v>74</v>
      </c>
      <c r="S83" t="s">
        <v>74</v>
      </c>
      <c r="T83" t="s">
        <v>74</v>
      </c>
      <c r="U83" t="s">
        <v>1518</v>
      </c>
      <c r="V83" t="s">
        <v>1519</v>
      </c>
      <c r="W83" t="s">
        <v>1520</v>
      </c>
      <c r="X83" t="s">
        <v>74</v>
      </c>
      <c r="Y83" t="s">
        <v>1521</v>
      </c>
      <c r="Z83" t="s">
        <v>1522</v>
      </c>
      <c r="AA83" t="s">
        <v>74</v>
      </c>
      <c r="AB83" t="s">
        <v>74</v>
      </c>
      <c r="AC83" t="s">
        <v>74</v>
      </c>
      <c r="AD83" t="s">
        <v>74</v>
      </c>
      <c r="AE83" t="s">
        <v>74</v>
      </c>
      <c r="AF83" t="s">
        <v>74</v>
      </c>
      <c r="AG83">
        <v>31</v>
      </c>
      <c r="AH83">
        <v>18</v>
      </c>
      <c r="AI83">
        <v>19</v>
      </c>
      <c r="AJ83">
        <v>1</v>
      </c>
      <c r="AK83">
        <v>10</v>
      </c>
      <c r="AL83" t="s">
        <v>348</v>
      </c>
      <c r="AM83" t="s">
        <v>349</v>
      </c>
      <c r="AN83" t="s">
        <v>1523</v>
      </c>
      <c r="AO83" t="s">
        <v>1524</v>
      </c>
      <c r="AP83" t="s">
        <v>1525</v>
      </c>
      <c r="AQ83" t="s">
        <v>74</v>
      </c>
      <c r="AR83" t="s">
        <v>1526</v>
      </c>
      <c r="AS83" t="s">
        <v>1527</v>
      </c>
      <c r="AT83" t="s">
        <v>74</v>
      </c>
      <c r="AU83">
        <v>2006</v>
      </c>
      <c r="AV83" t="s">
        <v>1528</v>
      </c>
      <c r="AW83">
        <v>1</v>
      </c>
      <c r="AX83" t="s">
        <v>74</v>
      </c>
      <c r="AY83" t="s">
        <v>74</v>
      </c>
      <c r="AZ83" t="s">
        <v>74</v>
      </c>
      <c r="BA83" t="s">
        <v>74</v>
      </c>
      <c r="BB83">
        <v>1</v>
      </c>
      <c r="BC83">
        <v>7</v>
      </c>
      <c r="BD83" t="s">
        <v>74</v>
      </c>
      <c r="BE83" t="s">
        <v>1529</v>
      </c>
      <c r="BF83" t="str">
        <f>HYPERLINK("http://dx.doi.org/10.1111/j.0435-3676.2006.00278.x","http://dx.doi.org/10.1111/j.0435-3676.2006.00278.x")</f>
        <v>http://dx.doi.org/10.1111/j.0435-3676.2006.00278.x</v>
      </c>
      <c r="BG83" t="s">
        <v>74</v>
      </c>
      <c r="BH83" t="s">
        <v>74</v>
      </c>
      <c r="BI83">
        <v>7</v>
      </c>
      <c r="BJ83" t="s">
        <v>1530</v>
      </c>
      <c r="BK83" t="s">
        <v>98</v>
      </c>
      <c r="BL83" t="s">
        <v>1531</v>
      </c>
      <c r="BM83" t="s">
        <v>1532</v>
      </c>
      <c r="BN83" t="s">
        <v>74</v>
      </c>
      <c r="BO83" t="s">
        <v>534</v>
      </c>
      <c r="BP83" t="s">
        <v>74</v>
      </c>
      <c r="BQ83" t="s">
        <v>74</v>
      </c>
      <c r="BR83" t="s">
        <v>101</v>
      </c>
      <c r="BS83" t="s">
        <v>1533</v>
      </c>
      <c r="BT83" t="str">
        <f>HYPERLINK("https%3A%2F%2Fwww.webofscience.com%2Fwos%2Fwoscc%2Ffull-record%2FWOS:000235499500001","View Full Record in Web of Science")</f>
        <v>View Full Record in Web of Science</v>
      </c>
    </row>
    <row r="84" spans="1:72" x14ac:dyDescent="0.15">
      <c r="A84" t="s">
        <v>297</v>
      </c>
      <c r="B84" t="s">
        <v>1534</v>
      </c>
      <c r="C84" t="s">
        <v>74</v>
      </c>
      <c r="D84" t="s">
        <v>1535</v>
      </c>
      <c r="E84" t="s">
        <v>74</v>
      </c>
      <c r="F84" t="s">
        <v>1536</v>
      </c>
      <c r="G84" t="s">
        <v>74</v>
      </c>
      <c r="H84" t="s">
        <v>74</v>
      </c>
      <c r="I84" t="s">
        <v>1537</v>
      </c>
      <c r="J84" t="s">
        <v>1538</v>
      </c>
      <c r="K84" t="s">
        <v>303</v>
      </c>
      <c r="L84" t="s">
        <v>74</v>
      </c>
      <c r="M84" t="s">
        <v>77</v>
      </c>
      <c r="N84" t="s">
        <v>304</v>
      </c>
      <c r="O84" t="s">
        <v>1539</v>
      </c>
      <c r="P84" t="s">
        <v>1540</v>
      </c>
      <c r="Q84" t="s">
        <v>1541</v>
      </c>
      <c r="R84" t="s">
        <v>74</v>
      </c>
      <c r="S84" t="s">
        <v>74</v>
      </c>
      <c r="T84" t="s">
        <v>1542</v>
      </c>
      <c r="U84" t="s">
        <v>1543</v>
      </c>
      <c r="V84" t="s">
        <v>1544</v>
      </c>
      <c r="W84" t="s">
        <v>1545</v>
      </c>
      <c r="X84" t="s">
        <v>1546</v>
      </c>
      <c r="Y84" t="s">
        <v>1547</v>
      </c>
      <c r="Z84" t="s">
        <v>74</v>
      </c>
      <c r="AA84" t="s">
        <v>1548</v>
      </c>
      <c r="AB84" t="s">
        <v>74</v>
      </c>
      <c r="AC84" t="s">
        <v>1549</v>
      </c>
      <c r="AD84" t="s">
        <v>1549</v>
      </c>
      <c r="AE84" t="s">
        <v>1550</v>
      </c>
      <c r="AF84" t="s">
        <v>74</v>
      </c>
      <c r="AG84">
        <v>8</v>
      </c>
      <c r="AH84">
        <v>0</v>
      </c>
      <c r="AI84">
        <v>1</v>
      </c>
      <c r="AJ84">
        <v>0</v>
      </c>
      <c r="AK84">
        <v>12</v>
      </c>
      <c r="AL84" t="s">
        <v>318</v>
      </c>
      <c r="AM84" t="s">
        <v>319</v>
      </c>
      <c r="AN84" t="s">
        <v>320</v>
      </c>
      <c r="AO84" t="s">
        <v>321</v>
      </c>
      <c r="AP84" t="s">
        <v>322</v>
      </c>
      <c r="AQ84" t="s">
        <v>1551</v>
      </c>
      <c r="AR84" t="s">
        <v>324</v>
      </c>
      <c r="AS84" t="s">
        <v>74</v>
      </c>
      <c r="AT84" t="s">
        <v>74</v>
      </c>
      <c r="AU84">
        <v>2006</v>
      </c>
      <c r="AV84">
        <v>6418</v>
      </c>
      <c r="AW84" t="s">
        <v>74</v>
      </c>
      <c r="AX84" t="s">
        <v>74</v>
      </c>
      <c r="AY84" t="s">
        <v>74</v>
      </c>
      <c r="AZ84" t="s">
        <v>74</v>
      </c>
      <c r="BA84" t="s">
        <v>74</v>
      </c>
      <c r="BB84" t="s">
        <v>74</v>
      </c>
      <c r="BC84" t="s">
        <v>74</v>
      </c>
      <c r="BD84" t="s">
        <v>1552</v>
      </c>
      <c r="BE84" t="s">
        <v>1553</v>
      </c>
      <c r="BF84" t="str">
        <f>HYPERLINK("http://dx.doi.org/10.1117/12.712643","http://dx.doi.org/10.1117/12.712643")</f>
        <v>http://dx.doi.org/10.1117/12.712643</v>
      </c>
      <c r="BG84" t="s">
        <v>74</v>
      </c>
      <c r="BH84" t="s">
        <v>74</v>
      </c>
      <c r="BI84">
        <v>5</v>
      </c>
      <c r="BJ84" t="s">
        <v>1554</v>
      </c>
      <c r="BK84" t="s">
        <v>328</v>
      </c>
      <c r="BL84" t="s">
        <v>1555</v>
      </c>
      <c r="BM84" t="s">
        <v>1556</v>
      </c>
      <c r="BN84" t="s">
        <v>74</v>
      </c>
      <c r="BO84" t="s">
        <v>74</v>
      </c>
      <c r="BP84" t="s">
        <v>74</v>
      </c>
      <c r="BQ84" t="s">
        <v>74</v>
      </c>
      <c r="BR84" t="s">
        <v>101</v>
      </c>
      <c r="BS84" t="s">
        <v>1557</v>
      </c>
      <c r="BT84" t="str">
        <f>HYPERLINK("https%3A%2F%2Fwww.webofscience.com%2Fwos%2Fwoscc%2Ffull-record%2FWOS:000245102300027","View Full Record in Web of Science")</f>
        <v>View Full Record in Web of Science</v>
      </c>
    </row>
    <row r="85" spans="1:72" x14ac:dyDescent="0.15">
      <c r="A85" t="s">
        <v>72</v>
      </c>
      <c r="B85" t="s">
        <v>1558</v>
      </c>
      <c r="C85" t="s">
        <v>74</v>
      </c>
      <c r="D85" t="s">
        <v>74</v>
      </c>
      <c r="E85" t="s">
        <v>74</v>
      </c>
      <c r="F85" t="s">
        <v>1558</v>
      </c>
      <c r="G85" t="s">
        <v>74</v>
      </c>
      <c r="H85" t="s">
        <v>74</v>
      </c>
      <c r="I85" t="s">
        <v>1559</v>
      </c>
      <c r="J85" t="s">
        <v>1560</v>
      </c>
      <c r="K85" t="s">
        <v>74</v>
      </c>
      <c r="L85" t="s">
        <v>74</v>
      </c>
      <c r="M85" t="s">
        <v>77</v>
      </c>
      <c r="N85" t="s">
        <v>78</v>
      </c>
      <c r="O85" t="s">
        <v>74</v>
      </c>
      <c r="P85" t="s">
        <v>74</v>
      </c>
      <c r="Q85" t="s">
        <v>74</v>
      </c>
      <c r="R85" t="s">
        <v>74</v>
      </c>
      <c r="S85" t="s">
        <v>74</v>
      </c>
      <c r="T85" t="s">
        <v>1561</v>
      </c>
      <c r="U85" t="s">
        <v>1562</v>
      </c>
      <c r="V85" t="s">
        <v>1563</v>
      </c>
      <c r="W85" t="s">
        <v>1564</v>
      </c>
      <c r="X85" t="s">
        <v>1565</v>
      </c>
      <c r="Y85" t="s">
        <v>1566</v>
      </c>
      <c r="Z85" t="s">
        <v>74</v>
      </c>
      <c r="AA85" t="s">
        <v>1567</v>
      </c>
      <c r="AB85" t="s">
        <v>1568</v>
      </c>
      <c r="AC85" t="s">
        <v>74</v>
      </c>
      <c r="AD85" t="s">
        <v>74</v>
      </c>
      <c r="AE85" t="s">
        <v>74</v>
      </c>
      <c r="AF85" t="s">
        <v>74</v>
      </c>
      <c r="AG85">
        <v>32</v>
      </c>
      <c r="AH85">
        <v>50</v>
      </c>
      <c r="AI85">
        <v>50</v>
      </c>
      <c r="AJ85">
        <v>0</v>
      </c>
      <c r="AK85">
        <v>10</v>
      </c>
      <c r="AL85" t="s">
        <v>1569</v>
      </c>
      <c r="AM85" t="s">
        <v>605</v>
      </c>
      <c r="AN85" t="s">
        <v>1570</v>
      </c>
      <c r="AO85" t="s">
        <v>1571</v>
      </c>
      <c r="AP85" t="s">
        <v>1572</v>
      </c>
      <c r="AQ85" t="s">
        <v>74</v>
      </c>
      <c r="AR85" t="s">
        <v>1560</v>
      </c>
      <c r="AS85" t="s">
        <v>1130</v>
      </c>
      <c r="AT85" t="s">
        <v>95</v>
      </c>
      <c r="AU85">
        <v>2006</v>
      </c>
      <c r="AV85">
        <v>34</v>
      </c>
      <c r="AW85">
        <v>1</v>
      </c>
      <c r="AX85" t="s">
        <v>74</v>
      </c>
      <c r="AY85" t="s">
        <v>74</v>
      </c>
      <c r="AZ85" t="s">
        <v>74</v>
      </c>
      <c r="BA85" t="s">
        <v>74</v>
      </c>
      <c r="BB85">
        <v>33</v>
      </c>
      <c r="BC85">
        <v>36</v>
      </c>
      <c r="BD85" t="s">
        <v>74</v>
      </c>
      <c r="BE85" t="s">
        <v>1573</v>
      </c>
      <c r="BF85" t="str">
        <f>HYPERLINK("http://dx.doi.org/10.1130/G22160.1","http://dx.doi.org/10.1130/G22160.1")</f>
        <v>http://dx.doi.org/10.1130/G22160.1</v>
      </c>
      <c r="BG85" t="s">
        <v>74</v>
      </c>
      <c r="BH85" t="s">
        <v>74</v>
      </c>
      <c r="BI85">
        <v>4</v>
      </c>
      <c r="BJ85" t="s">
        <v>1130</v>
      </c>
      <c r="BK85" t="s">
        <v>98</v>
      </c>
      <c r="BL85" t="s">
        <v>1130</v>
      </c>
      <c r="BM85" t="s">
        <v>1574</v>
      </c>
      <c r="BN85" t="s">
        <v>74</v>
      </c>
      <c r="BO85" t="s">
        <v>74</v>
      </c>
      <c r="BP85" t="s">
        <v>74</v>
      </c>
      <c r="BQ85" t="s">
        <v>74</v>
      </c>
      <c r="BR85" t="s">
        <v>101</v>
      </c>
      <c r="BS85" t="s">
        <v>1575</v>
      </c>
      <c r="BT85" t="str">
        <f>HYPERLINK("https%3A%2F%2Fwww.webofscience.com%2Fwos%2Fwoscc%2Ffull-record%2FWOS:000234582100011","View Full Record in Web of Science")</f>
        <v>View Full Record in Web of Science</v>
      </c>
    </row>
    <row r="86" spans="1:72" x14ac:dyDescent="0.15">
      <c r="A86" t="s">
        <v>72</v>
      </c>
      <c r="B86" t="s">
        <v>1576</v>
      </c>
      <c r="C86" t="s">
        <v>74</v>
      </c>
      <c r="D86" t="s">
        <v>74</v>
      </c>
      <c r="E86" t="s">
        <v>74</v>
      </c>
      <c r="F86" t="s">
        <v>1577</v>
      </c>
      <c r="G86" t="s">
        <v>74</v>
      </c>
      <c r="H86" t="s">
        <v>74</v>
      </c>
      <c r="I86" t="s">
        <v>1578</v>
      </c>
      <c r="J86" t="s">
        <v>1579</v>
      </c>
      <c r="K86" t="s">
        <v>74</v>
      </c>
      <c r="L86" t="s">
        <v>74</v>
      </c>
      <c r="M86" t="s">
        <v>77</v>
      </c>
      <c r="N86" t="s">
        <v>78</v>
      </c>
      <c r="O86" t="s">
        <v>74</v>
      </c>
      <c r="P86" t="s">
        <v>74</v>
      </c>
      <c r="Q86" t="s">
        <v>74</v>
      </c>
      <c r="R86" t="s">
        <v>74</v>
      </c>
      <c r="S86" t="s">
        <v>74</v>
      </c>
      <c r="T86" t="s">
        <v>74</v>
      </c>
      <c r="U86" t="s">
        <v>1580</v>
      </c>
      <c r="V86" t="s">
        <v>1581</v>
      </c>
      <c r="W86" t="s">
        <v>1582</v>
      </c>
      <c r="X86" t="s">
        <v>1583</v>
      </c>
      <c r="Y86" t="s">
        <v>1584</v>
      </c>
      <c r="Z86" t="s">
        <v>74</v>
      </c>
      <c r="AA86" t="s">
        <v>74</v>
      </c>
      <c r="AB86" t="s">
        <v>74</v>
      </c>
      <c r="AC86" t="s">
        <v>74</v>
      </c>
      <c r="AD86" t="s">
        <v>74</v>
      </c>
      <c r="AE86" t="s">
        <v>74</v>
      </c>
      <c r="AF86" t="s">
        <v>74</v>
      </c>
      <c r="AG86">
        <v>27</v>
      </c>
      <c r="AH86">
        <v>9</v>
      </c>
      <c r="AI86">
        <v>9</v>
      </c>
      <c r="AJ86">
        <v>0</v>
      </c>
      <c r="AK86">
        <v>3</v>
      </c>
      <c r="AL86" t="s">
        <v>115</v>
      </c>
      <c r="AM86" t="s">
        <v>89</v>
      </c>
      <c r="AN86" t="s">
        <v>116</v>
      </c>
      <c r="AO86" t="s">
        <v>1585</v>
      </c>
      <c r="AP86" t="s">
        <v>1586</v>
      </c>
      <c r="AQ86" t="s">
        <v>74</v>
      </c>
      <c r="AR86" t="s">
        <v>1587</v>
      </c>
      <c r="AS86" t="s">
        <v>1588</v>
      </c>
      <c r="AT86" t="s">
        <v>95</v>
      </c>
      <c r="AU86">
        <v>2006</v>
      </c>
      <c r="AV86">
        <v>46</v>
      </c>
      <c r="AW86">
        <v>1</v>
      </c>
      <c r="AX86" t="s">
        <v>74</v>
      </c>
      <c r="AY86" t="s">
        <v>74</v>
      </c>
      <c r="AZ86" t="s">
        <v>74</v>
      </c>
      <c r="BA86" t="s">
        <v>74</v>
      </c>
      <c r="BB86">
        <v>64</v>
      </c>
      <c r="BC86">
        <v>73</v>
      </c>
      <c r="BD86" t="s">
        <v>74</v>
      </c>
      <c r="BE86" t="s">
        <v>1589</v>
      </c>
      <c r="BF86" t="str">
        <f>HYPERLINK("http://dx.doi.org/10.1134/S0016793206010075","http://dx.doi.org/10.1134/S0016793206010075")</f>
        <v>http://dx.doi.org/10.1134/S0016793206010075</v>
      </c>
      <c r="BG86" t="s">
        <v>74</v>
      </c>
      <c r="BH86" t="s">
        <v>74</v>
      </c>
      <c r="BI86">
        <v>10</v>
      </c>
      <c r="BJ86" t="s">
        <v>1348</v>
      </c>
      <c r="BK86" t="s">
        <v>98</v>
      </c>
      <c r="BL86" t="s">
        <v>1348</v>
      </c>
      <c r="BM86" t="s">
        <v>1590</v>
      </c>
      <c r="BN86" t="s">
        <v>74</v>
      </c>
      <c r="BO86" t="s">
        <v>74</v>
      </c>
      <c r="BP86" t="s">
        <v>74</v>
      </c>
      <c r="BQ86" t="s">
        <v>74</v>
      </c>
      <c r="BR86" t="s">
        <v>101</v>
      </c>
      <c r="BS86" t="s">
        <v>1591</v>
      </c>
      <c r="BT86" t="str">
        <f>HYPERLINK("https%3A%2F%2Fwww.webofscience.com%2Fwos%2Fwoscc%2Ffull-record%2FWOS:000244524600007","View Full Record in Web of Science")</f>
        <v>View Full Record in Web of Science</v>
      </c>
    </row>
    <row r="87" spans="1:72" x14ac:dyDescent="0.15">
      <c r="A87" t="s">
        <v>577</v>
      </c>
      <c r="B87" t="s">
        <v>1592</v>
      </c>
      <c r="C87" t="s">
        <v>74</v>
      </c>
      <c r="D87" t="s">
        <v>1593</v>
      </c>
      <c r="E87" t="s">
        <v>74</v>
      </c>
      <c r="F87" t="s">
        <v>1594</v>
      </c>
      <c r="G87" t="s">
        <v>74</v>
      </c>
      <c r="H87" t="s">
        <v>74</v>
      </c>
      <c r="I87" t="s">
        <v>1595</v>
      </c>
      <c r="J87" t="s">
        <v>1596</v>
      </c>
      <c r="K87" t="s">
        <v>1597</v>
      </c>
      <c r="L87" t="s">
        <v>74</v>
      </c>
      <c r="M87" t="s">
        <v>77</v>
      </c>
      <c r="N87" t="s">
        <v>381</v>
      </c>
      <c r="O87" t="s">
        <v>74</v>
      </c>
      <c r="P87" t="s">
        <v>74</v>
      </c>
      <c r="Q87" t="s">
        <v>74</v>
      </c>
      <c r="R87" t="s">
        <v>74</v>
      </c>
      <c r="S87" t="s">
        <v>74</v>
      </c>
      <c r="T87" t="s">
        <v>1598</v>
      </c>
      <c r="U87" t="s">
        <v>1599</v>
      </c>
      <c r="V87" t="s">
        <v>1600</v>
      </c>
      <c r="W87" t="s">
        <v>1601</v>
      </c>
      <c r="X87" t="s">
        <v>1602</v>
      </c>
      <c r="Y87" t="s">
        <v>1603</v>
      </c>
      <c r="Z87" t="s">
        <v>1604</v>
      </c>
      <c r="AA87" t="s">
        <v>1605</v>
      </c>
      <c r="AB87" t="s">
        <v>1606</v>
      </c>
      <c r="AC87" t="s">
        <v>74</v>
      </c>
      <c r="AD87" t="s">
        <v>74</v>
      </c>
      <c r="AE87" t="s">
        <v>74</v>
      </c>
      <c r="AF87" t="s">
        <v>74</v>
      </c>
      <c r="AG87">
        <v>138</v>
      </c>
      <c r="AH87">
        <v>3</v>
      </c>
      <c r="AI87">
        <v>3</v>
      </c>
      <c r="AJ87">
        <v>1</v>
      </c>
      <c r="AK87">
        <v>13</v>
      </c>
      <c r="AL87" t="s">
        <v>1147</v>
      </c>
      <c r="AM87" t="s">
        <v>1148</v>
      </c>
      <c r="AN87" t="s">
        <v>1607</v>
      </c>
      <c r="AO87" t="s">
        <v>1608</v>
      </c>
      <c r="AP87" t="s">
        <v>74</v>
      </c>
      <c r="AQ87" t="s">
        <v>1609</v>
      </c>
      <c r="AR87" t="s">
        <v>1610</v>
      </c>
      <c r="AS87" t="s">
        <v>1611</v>
      </c>
      <c r="AT87" t="s">
        <v>74</v>
      </c>
      <c r="AU87">
        <v>2006</v>
      </c>
      <c r="AV87">
        <v>73</v>
      </c>
      <c r="AW87" t="s">
        <v>74</v>
      </c>
      <c r="AX87" t="s">
        <v>74</v>
      </c>
      <c r="AY87" t="s">
        <v>74</v>
      </c>
      <c r="AZ87" t="s">
        <v>74</v>
      </c>
      <c r="BA87" t="s">
        <v>74</v>
      </c>
      <c r="BB87">
        <v>27</v>
      </c>
      <c r="BC87">
        <v>63</v>
      </c>
      <c r="BD87" t="s">
        <v>74</v>
      </c>
      <c r="BE87" t="s">
        <v>74</v>
      </c>
      <c r="BF87" t="s">
        <v>74</v>
      </c>
      <c r="BG87" t="s">
        <v>74</v>
      </c>
      <c r="BH87" t="s">
        <v>74</v>
      </c>
      <c r="BI87">
        <v>37</v>
      </c>
      <c r="BJ87" t="s">
        <v>1612</v>
      </c>
      <c r="BK87" t="s">
        <v>609</v>
      </c>
      <c r="BL87" t="s">
        <v>1613</v>
      </c>
      <c r="BM87" t="s">
        <v>1614</v>
      </c>
      <c r="BN87" t="s">
        <v>74</v>
      </c>
      <c r="BO87" t="s">
        <v>74</v>
      </c>
      <c r="BP87" t="s">
        <v>74</v>
      </c>
      <c r="BQ87" t="s">
        <v>74</v>
      </c>
      <c r="BR87" t="s">
        <v>101</v>
      </c>
      <c r="BS87" t="s">
        <v>1615</v>
      </c>
      <c r="BT87" t="str">
        <f>HYPERLINK("https%3A%2F%2Fwww.webofscience.com%2Fwos%2Fwoscc%2Ffull-record%2FWOS:000311358100002","View Full Record in Web of Science")</f>
        <v>View Full Record in Web of Science</v>
      </c>
    </row>
    <row r="88" spans="1:72" x14ac:dyDescent="0.15">
      <c r="A88" t="s">
        <v>297</v>
      </c>
      <c r="B88" t="s">
        <v>1616</v>
      </c>
      <c r="C88" t="s">
        <v>74</v>
      </c>
      <c r="D88" t="s">
        <v>74</v>
      </c>
      <c r="E88" t="s">
        <v>505</v>
      </c>
      <c r="F88" t="s">
        <v>1617</v>
      </c>
      <c r="G88" t="s">
        <v>74</v>
      </c>
      <c r="H88" t="s">
        <v>74</v>
      </c>
      <c r="I88" t="s">
        <v>1618</v>
      </c>
      <c r="J88" t="s">
        <v>1619</v>
      </c>
      <c r="K88" t="s">
        <v>1620</v>
      </c>
      <c r="L88" t="s">
        <v>74</v>
      </c>
      <c r="M88" t="s">
        <v>77</v>
      </c>
      <c r="N88" t="s">
        <v>304</v>
      </c>
      <c r="O88" t="s">
        <v>1621</v>
      </c>
      <c r="P88" t="s">
        <v>1622</v>
      </c>
      <c r="Q88" t="s">
        <v>1623</v>
      </c>
      <c r="R88" t="s">
        <v>74</v>
      </c>
      <c r="S88" t="s">
        <v>74</v>
      </c>
      <c r="T88" t="s">
        <v>1624</v>
      </c>
      <c r="U88" t="s">
        <v>74</v>
      </c>
      <c r="V88" t="s">
        <v>1625</v>
      </c>
      <c r="W88" t="s">
        <v>1626</v>
      </c>
      <c r="X88" t="s">
        <v>1627</v>
      </c>
      <c r="Y88" t="s">
        <v>1628</v>
      </c>
      <c r="Z88" t="s">
        <v>1629</v>
      </c>
      <c r="AA88" t="s">
        <v>74</v>
      </c>
      <c r="AB88" t="s">
        <v>74</v>
      </c>
      <c r="AC88" t="s">
        <v>74</v>
      </c>
      <c r="AD88" t="s">
        <v>74</v>
      </c>
      <c r="AE88" t="s">
        <v>74</v>
      </c>
      <c r="AF88" t="s">
        <v>74</v>
      </c>
      <c r="AG88">
        <v>11</v>
      </c>
      <c r="AH88">
        <v>1</v>
      </c>
      <c r="AI88">
        <v>1</v>
      </c>
      <c r="AJ88">
        <v>0</v>
      </c>
      <c r="AK88">
        <v>4</v>
      </c>
      <c r="AL88" t="s">
        <v>505</v>
      </c>
      <c r="AM88" t="s">
        <v>89</v>
      </c>
      <c r="AN88" t="s">
        <v>506</v>
      </c>
      <c r="AO88" t="s">
        <v>1630</v>
      </c>
      <c r="AP88" t="s">
        <v>74</v>
      </c>
      <c r="AQ88" t="s">
        <v>1631</v>
      </c>
      <c r="AR88" t="s">
        <v>1632</v>
      </c>
      <c r="AS88" t="s">
        <v>74</v>
      </c>
      <c r="AT88" t="s">
        <v>74</v>
      </c>
      <c r="AU88">
        <v>2006</v>
      </c>
      <c r="AV88" t="s">
        <v>74</v>
      </c>
      <c r="AW88" t="s">
        <v>74</v>
      </c>
      <c r="AX88" t="s">
        <v>74</v>
      </c>
      <c r="AY88" t="s">
        <v>74</v>
      </c>
      <c r="AZ88" t="s">
        <v>74</v>
      </c>
      <c r="BA88" t="s">
        <v>74</v>
      </c>
      <c r="BB88" t="s">
        <v>74</v>
      </c>
      <c r="BC88" t="s">
        <v>74</v>
      </c>
      <c r="BD88" t="s">
        <v>74</v>
      </c>
      <c r="BE88" t="s">
        <v>74</v>
      </c>
      <c r="BF88" t="s">
        <v>74</v>
      </c>
      <c r="BG88" t="s">
        <v>74</v>
      </c>
      <c r="BH88" t="s">
        <v>74</v>
      </c>
      <c r="BI88">
        <v>6</v>
      </c>
      <c r="BJ88" t="s">
        <v>1633</v>
      </c>
      <c r="BK88" t="s">
        <v>328</v>
      </c>
      <c r="BL88" t="s">
        <v>1634</v>
      </c>
      <c r="BM88" t="s">
        <v>1635</v>
      </c>
      <c r="BN88" t="s">
        <v>74</v>
      </c>
      <c r="BO88" t="s">
        <v>74</v>
      </c>
      <c r="BP88" t="s">
        <v>74</v>
      </c>
      <c r="BQ88" t="s">
        <v>74</v>
      </c>
      <c r="BR88" t="s">
        <v>101</v>
      </c>
      <c r="BS88" t="s">
        <v>1636</v>
      </c>
      <c r="BT88" t="str">
        <f>HYPERLINK("https%3A%2F%2Fwww.webofscience.com%2Fwos%2Fwoscc%2Ffull-record%2FWOS:000288765605046","View Full Record in Web of Science")</f>
        <v>View Full Record in Web of Science</v>
      </c>
    </row>
    <row r="89" spans="1:72" x14ac:dyDescent="0.15">
      <c r="A89" t="s">
        <v>297</v>
      </c>
      <c r="B89" t="s">
        <v>1637</v>
      </c>
      <c r="C89" t="s">
        <v>74</v>
      </c>
      <c r="D89" t="s">
        <v>1638</v>
      </c>
      <c r="E89" t="s">
        <v>74</v>
      </c>
      <c r="F89" t="s">
        <v>1639</v>
      </c>
      <c r="G89" t="s">
        <v>74</v>
      </c>
      <c r="H89" t="s">
        <v>74</v>
      </c>
      <c r="I89" t="s">
        <v>1640</v>
      </c>
      <c r="J89" t="s">
        <v>1641</v>
      </c>
      <c r="K89" t="s">
        <v>303</v>
      </c>
      <c r="L89" t="s">
        <v>74</v>
      </c>
      <c r="M89" t="s">
        <v>77</v>
      </c>
      <c r="N89" t="s">
        <v>304</v>
      </c>
      <c r="O89" t="s">
        <v>1642</v>
      </c>
      <c r="P89" t="s">
        <v>1643</v>
      </c>
      <c r="Q89" t="s">
        <v>1644</v>
      </c>
      <c r="R89" t="s">
        <v>74</v>
      </c>
      <c r="S89" t="s">
        <v>74</v>
      </c>
      <c r="T89" t="s">
        <v>1645</v>
      </c>
      <c r="U89" t="s">
        <v>1646</v>
      </c>
      <c r="V89" t="s">
        <v>1647</v>
      </c>
      <c r="W89" t="s">
        <v>1648</v>
      </c>
      <c r="X89" t="s">
        <v>1649</v>
      </c>
      <c r="Y89" t="s">
        <v>1650</v>
      </c>
      <c r="Z89" t="s">
        <v>1651</v>
      </c>
      <c r="AA89" t="s">
        <v>1652</v>
      </c>
      <c r="AB89" t="s">
        <v>1653</v>
      </c>
      <c r="AC89" t="s">
        <v>74</v>
      </c>
      <c r="AD89" t="s">
        <v>74</v>
      </c>
      <c r="AE89" t="s">
        <v>74</v>
      </c>
      <c r="AF89" t="s">
        <v>74</v>
      </c>
      <c r="AG89">
        <v>7</v>
      </c>
      <c r="AH89">
        <v>0</v>
      </c>
      <c r="AI89">
        <v>0</v>
      </c>
      <c r="AJ89">
        <v>1</v>
      </c>
      <c r="AK89">
        <v>1</v>
      </c>
      <c r="AL89" t="s">
        <v>318</v>
      </c>
      <c r="AM89" t="s">
        <v>319</v>
      </c>
      <c r="AN89" t="s">
        <v>320</v>
      </c>
      <c r="AO89" t="s">
        <v>321</v>
      </c>
      <c r="AP89" t="s">
        <v>74</v>
      </c>
      <c r="AQ89" t="s">
        <v>1654</v>
      </c>
      <c r="AR89" t="s">
        <v>324</v>
      </c>
      <c r="AS89" t="s">
        <v>74</v>
      </c>
      <c r="AT89" t="s">
        <v>74</v>
      </c>
      <c r="AU89">
        <v>2006</v>
      </c>
      <c r="AV89">
        <v>6269</v>
      </c>
      <c r="AW89" t="s">
        <v>74</v>
      </c>
      <c r="AX89" t="s">
        <v>1655</v>
      </c>
      <c r="AY89" t="s">
        <v>74</v>
      </c>
      <c r="AZ89" t="s">
        <v>74</v>
      </c>
      <c r="BA89" t="s">
        <v>74</v>
      </c>
      <c r="BB89" t="s">
        <v>74</v>
      </c>
      <c r="BC89" t="s">
        <v>74</v>
      </c>
      <c r="BD89" t="s">
        <v>1656</v>
      </c>
      <c r="BE89" t="s">
        <v>1657</v>
      </c>
      <c r="BF89" t="str">
        <f>HYPERLINK("http://dx.doi.org/10.1117/12.672802","http://dx.doi.org/10.1117/12.672802")</f>
        <v>http://dx.doi.org/10.1117/12.672802</v>
      </c>
      <c r="BG89" t="s">
        <v>74</v>
      </c>
      <c r="BH89" t="s">
        <v>74</v>
      </c>
      <c r="BI89">
        <v>7</v>
      </c>
      <c r="BJ89" t="s">
        <v>1658</v>
      </c>
      <c r="BK89" t="s">
        <v>328</v>
      </c>
      <c r="BL89" t="s">
        <v>1658</v>
      </c>
      <c r="BM89" t="s">
        <v>1659</v>
      </c>
      <c r="BN89" t="s">
        <v>74</v>
      </c>
      <c r="BO89" t="s">
        <v>74</v>
      </c>
      <c r="BP89" t="s">
        <v>74</v>
      </c>
      <c r="BQ89" t="s">
        <v>74</v>
      </c>
      <c r="BR89" t="s">
        <v>101</v>
      </c>
      <c r="BS89" t="s">
        <v>1660</v>
      </c>
      <c r="BT89" t="str">
        <f>HYPERLINK("https%3A%2F%2Fwww.webofscience.com%2Fwos%2Fwoscc%2Ffull-record%2FWOS:000240348500169","View Full Record in Web of Science")</f>
        <v>View Full Record in Web of Science</v>
      </c>
    </row>
    <row r="90" spans="1:72" x14ac:dyDescent="0.15">
      <c r="A90" t="s">
        <v>297</v>
      </c>
      <c r="B90" t="s">
        <v>1661</v>
      </c>
      <c r="C90" t="s">
        <v>74</v>
      </c>
      <c r="D90" t="s">
        <v>1638</v>
      </c>
      <c r="E90" t="s">
        <v>74</v>
      </c>
      <c r="F90" t="s">
        <v>1662</v>
      </c>
      <c r="G90" t="s">
        <v>74</v>
      </c>
      <c r="H90" t="s">
        <v>74</v>
      </c>
      <c r="I90" t="s">
        <v>1663</v>
      </c>
      <c r="J90" t="s">
        <v>1641</v>
      </c>
      <c r="K90" t="s">
        <v>303</v>
      </c>
      <c r="L90" t="s">
        <v>74</v>
      </c>
      <c r="M90" t="s">
        <v>77</v>
      </c>
      <c r="N90" t="s">
        <v>304</v>
      </c>
      <c r="O90" t="s">
        <v>1642</v>
      </c>
      <c r="P90" t="s">
        <v>1643</v>
      </c>
      <c r="Q90" t="s">
        <v>1644</v>
      </c>
      <c r="R90" t="s">
        <v>74</v>
      </c>
      <c r="S90" t="s">
        <v>74</v>
      </c>
      <c r="T90" t="s">
        <v>74</v>
      </c>
      <c r="U90" t="s">
        <v>1664</v>
      </c>
      <c r="V90" t="s">
        <v>1665</v>
      </c>
      <c r="W90" t="s">
        <v>1666</v>
      </c>
      <c r="X90" t="s">
        <v>1667</v>
      </c>
      <c r="Y90" t="s">
        <v>1668</v>
      </c>
      <c r="Z90" t="s">
        <v>1669</v>
      </c>
      <c r="AA90" t="s">
        <v>1670</v>
      </c>
      <c r="AB90" t="s">
        <v>1671</v>
      </c>
      <c r="AC90" t="s">
        <v>74</v>
      </c>
      <c r="AD90" t="s">
        <v>74</v>
      </c>
      <c r="AE90" t="s">
        <v>74</v>
      </c>
      <c r="AF90" t="s">
        <v>74</v>
      </c>
      <c r="AG90">
        <v>15</v>
      </c>
      <c r="AH90">
        <v>0</v>
      </c>
      <c r="AI90">
        <v>0</v>
      </c>
      <c r="AJ90">
        <v>0</v>
      </c>
      <c r="AK90">
        <v>1</v>
      </c>
      <c r="AL90" t="s">
        <v>318</v>
      </c>
      <c r="AM90" t="s">
        <v>319</v>
      </c>
      <c r="AN90" t="s">
        <v>320</v>
      </c>
      <c r="AO90" t="s">
        <v>321</v>
      </c>
      <c r="AP90" t="s">
        <v>74</v>
      </c>
      <c r="AQ90" t="s">
        <v>1654</v>
      </c>
      <c r="AR90" t="s">
        <v>324</v>
      </c>
      <c r="AS90" t="s">
        <v>74</v>
      </c>
      <c r="AT90" t="s">
        <v>74</v>
      </c>
      <c r="AU90">
        <v>2006</v>
      </c>
      <c r="AV90">
        <v>6269</v>
      </c>
      <c r="AW90" t="s">
        <v>74</v>
      </c>
      <c r="AX90" t="s">
        <v>1655</v>
      </c>
      <c r="AY90" t="s">
        <v>74</v>
      </c>
      <c r="AZ90" t="s">
        <v>74</v>
      </c>
      <c r="BA90" t="s">
        <v>74</v>
      </c>
      <c r="BB90" t="s">
        <v>74</v>
      </c>
      <c r="BC90" t="s">
        <v>74</v>
      </c>
      <c r="BD90" t="s">
        <v>1672</v>
      </c>
      <c r="BE90" t="s">
        <v>1673</v>
      </c>
      <c r="BF90" t="str">
        <f>HYPERLINK("http://dx.doi.org/10.1117/12.672640","http://dx.doi.org/10.1117/12.672640")</f>
        <v>http://dx.doi.org/10.1117/12.672640</v>
      </c>
      <c r="BG90" t="s">
        <v>74</v>
      </c>
      <c r="BH90" t="s">
        <v>74</v>
      </c>
      <c r="BI90">
        <v>9</v>
      </c>
      <c r="BJ90" t="s">
        <v>1658</v>
      </c>
      <c r="BK90" t="s">
        <v>328</v>
      </c>
      <c r="BL90" t="s">
        <v>1658</v>
      </c>
      <c r="BM90" t="s">
        <v>1659</v>
      </c>
      <c r="BN90" t="s">
        <v>74</v>
      </c>
      <c r="BO90" t="s">
        <v>534</v>
      </c>
      <c r="BP90" t="s">
        <v>74</v>
      </c>
      <c r="BQ90" t="s">
        <v>74</v>
      </c>
      <c r="BR90" t="s">
        <v>101</v>
      </c>
      <c r="BS90" t="s">
        <v>1674</v>
      </c>
      <c r="BT90" t="str">
        <f>HYPERLINK("https%3A%2F%2Fwww.webofscience.com%2Fwos%2Fwoscc%2Ffull-record%2FWOS:000240348500188","View Full Record in Web of Science")</f>
        <v>View Full Record in Web of Science</v>
      </c>
    </row>
    <row r="91" spans="1:72" x14ac:dyDescent="0.15">
      <c r="A91" t="s">
        <v>297</v>
      </c>
      <c r="B91" t="s">
        <v>1675</v>
      </c>
      <c r="C91" t="s">
        <v>74</v>
      </c>
      <c r="D91" t="s">
        <v>1676</v>
      </c>
      <c r="E91" t="s">
        <v>74</v>
      </c>
      <c r="F91" t="s">
        <v>1677</v>
      </c>
      <c r="G91" t="s">
        <v>74</v>
      </c>
      <c r="H91" t="s">
        <v>74</v>
      </c>
      <c r="I91" t="s">
        <v>1678</v>
      </c>
      <c r="J91" t="s">
        <v>1679</v>
      </c>
      <c r="K91" t="s">
        <v>303</v>
      </c>
      <c r="L91" t="s">
        <v>74</v>
      </c>
      <c r="M91" t="s">
        <v>77</v>
      </c>
      <c r="N91" t="s">
        <v>304</v>
      </c>
      <c r="O91" t="s">
        <v>1680</v>
      </c>
      <c r="P91" t="s">
        <v>1681</v>
      </c>
      <c r="Q91" t="s">
        <v>1644</v>
      </c>
      <c r="R91" t="s">
        <v>74</v>
      </c>
      <c r="S91" t="s">
        <v>74</v>
      </c>
      <c r="T91" t="s">
        <v>1682</v>
      </c>
      <c r="U91" t="s">
        <v>1683</v>
      </c>
      <c r="V91" t="s">
        <v>1684</v>
      </c>
      <c r="W91" t="s">
        <v>1685</v>
      </c>
      <c r="X91" t="s">
        <v>1686</v>
      </c>
      <c r="Y91" t="s">
        <v>1687</v>
      </c>
      <c r="Z91" t="s">
        <v>1688</v>
      </c>
      <c r="AA91" t="s">
        <v>1689</v>
      </c>
      <c r="AB91" t="s">
        <v>1690</v>
      </c>
      <c r="AC91" t="s">
        <v>74</v>
      </c>
      <c r="AD91" t="s">
        <v>74</v>
      </c>
      <c r="AE91" t="s">
        <v>74</v>
      </c>
      <c r="AF91" t="s">
        <v>74</v>
      </c>
      <c r="AG91">
        <v>7</v>
      </c>
      <c r="AH91">
        <v>0</v>
      </c>
      <c r="AI91">
        <v>0</v>
      </c>
      <c r="AJ91">
        <v>1</v>
      </c>
      <c r="AK91">
        <v>4</v>
      </c>
      <c r="AL91" t="s">
        <v>318</v>
      </c>
      <c r="AM91" t="s">
        <v>319</v>
      </c>
      <c r="AN91" t="s">
        <v>320</v>
      </c>
      <c r="AO91" t="s">
        <v>321</v>
      </c>
      <c r="AP91" t="s">
        <v>74</v>
      </c>
      <c r="AQ91" t="s">
        <v>1691</v>
      </c>
      <c r="AR91" t="s">
        <v>324</v>
      </c>
      <c r="AS91" t="s">
        <v>74</v>
      </c>
      <c r="AT91" t="s">
        <v>74</v>
      </c>
      <c r="AU91">
        <v>2006</v>
      </c>
      <c r="AV91">
        <v>6267</v>
      </c>
      <c r="AW91" t="s">
        <v>74</v>
      </c>
      <c r="AX91" t="s">
        <v>1692</v>
      </c>
      <c r="AY91" t="s">
        <v>74</v>
      </c>
      <c r="AZ91" t="s">
        <v>74</v>
      </c>
      <c r="BA91" t="s">
        <v>74</v>
      </c>
      <c r="BB91" t="s">
        <v>74</v>
      </c>
      <c r="BC91" t="s">
        <v>74</v>
      </c>
      <c r="BD91" t="s">
        <v>1693</v>
      </c>
      <c r="BE91" t="s">
        <v>1694</v>
      </c>
      <c r="BF91" t="str">
        <f>HYPERLINK("http://dx.doi.org/10.1117/12.671265","http://dx.doi.org/10.1117/12.671265")</f>
        <v>http://dx.doi.org/10.1117/12.671265</v>
      </c>
      <c r="BG91" t="s">
        <v>74</v>
      </c>
      <c r="BH91" t="s">
        <v>74</v>
      </c>
      <c r="BI91">
        <v>9</v>
      </c>
      <c r="BJ91" t="s">
        <v>1695</v>
      </c>
      <c r="BK91" t="s">
        <v>328</v>
      </c>
      <c r="BL91" t="s">
        <v>1695</v>
      </c>
      <c r="BM91" t="s">
        <v>1696</v>
      </c>
      <c r="BN91" t="s">
        <v>74</v>
      </c>
      <c r="BO91" t="s">
        <v>74</v>
      </c>
      <c r="BP91" t="s">
        <v>74</v>
      </c>
      <c r="BQ91" t="s">
        <v>74</v>
      </c>
      <c r="BR91" t="s">
        <v>101</v>
      </c>
      <c r="BS91" t="s">
        <v>1697</v>
      </c>
      <c r="BT91" t="str">
        <f>HYPERLINK("https%3A%2F%2Fwww.webofscience.com%2Fwos%2Fwoscc%2Ffull-record%2FWOS:000240018600051","View Full Record in Web of Science")</f>
        <v>View Full Record in Web of Science</v>
      </c>
    </row>
    <row r="92" spans="1:72" x14ac:dyDescent="0.15">
      <c r="A92" t="s">
        <v>297</v>
      </c>
      <c r="B92" t="s">
        <v>1698</v>
      </c>
      <c r="C92" t="s">
        <v>74</v>
      </c>
      <c r="D92" t="s">
        <v>1676</v>
      </c>
      <c r="E92" t="s">
        <v>74</v>
      </c>
      <c r="F92" t="s">
        <v>1699</v>
      </c>
      <c r="G92" t="s">
        <v>74</v>
      </c>
      <c r="H92" t="s">
        <v>1700</v>
      </c>
      <c r="I92" t="s">
        <v>1701</v>
      </c>
      <c r="J92" t="s">
        <v>1679</v>
      </c>
      <c r="K92" t="s">
        <v>303</v>
      </c>
      <c r="L92" t="s">
        <v>74</v>
      </c>
      <c r="M92" t="s">
        <v>77</v>
      </c>
      <c r="N92" t="s">
        <v>304</v>
      </c>
      <c r="O92" t="s">
        <v>1680</v>
      </c>
      <c r="P92" t="s">
        <v>1681</v>
      </c>
      <c r="Q92" t="s">
        <v>1644</v>
      </c>
      <c r="R92" t="s">
        <v>74</v>
      </c>
      <c r="S92" t="s">
        <v>74</v>
      </c>
      <c r="T92" t="s">
        <v>1702</v>
      </c>
      <c r="U92" t="s">
        <v>1703</v>
      </c>
      <c r="V92" t="s">
        <v>1704</v>
      </c>
      <c r="W92" t="s">
        <v>1705</v>
      </c>
      <c r="X92" t="s">
        <v>1706</v>
      </c>
      <c r="Y92" t="s">
        <v>1707</v>
      </c>
      <c r="Z92" t="s">
        <v>1708</v>
      </c>
      <c r="AA92" t="s">
        <v>1709</v>
      </c>
      <c r="AB92" t="s">
        <v>1710</v>
      </c>
      <c r="AC92" t="s">
        <v>74</v>
      </c>
      <c r="AD92" t="s">
        <v>74</v>
      </c>
      <c r="AE92" t="s">
        <v>74</v>
      </c>
      <c r="AF92" t="s">
        <v>74</v>
      </c>
      <c r="AG92">
        <v>9</v>
      </c>
      <c r="AH92">
        <v>6</v>
      </c>
      <c r="AI92">
        <v>6</v>
      </c>
      <c r="AJ92">
        <v>0</v>
      </c>
      <c r="AK92">
        <v>2</v>
      </c>
      <c r="AL92" t="s">
        <v>318</v>
      </c>
      <c r="AM92" t="s">
        <v>319</v>
      </c>
      <c r="AN92" t="s">
        <v>320</v>
      </c>
      <c r="AO92" t="s">
        <v>321</v>
      </c>
      <c r="AP92" t="s">
        <v>322</v>
      </c>
      <c r="AQ92" t="s">
        <v>1691</v>
      </c>
      <c r="AR92" t="s">
        <v>324</v>
      </c>
      <c r="AS92" t="s">
        <v>74</v>
      </c>
      <c r="AT92" t="s">
        <v>74</v>
      </c>
      <c r="AU92">
        <v>2006</v>
      </c>
      <c r="AV92">
        <v>6267</v>
      </c>
      <c r="AW92" t="s">
        <v>74</v>
      </c>
      <c r="AX92" t="s">
        <v>1692</v>
      </c>
      <c r="AY92" t="s">
        <v>74</v>
      </c>
      <c r="AZ92" t="s">
        <v>74</v>
      </c>
      <c r="BA92" t="s">
        <v>74</v>
      </c>
      <c r="BB92" t="s">
        <v>74</v>
      </c>
      <c r="BC92" t="s">
        <v>74</v>
      </c>
      <c r="BD92" t="s">
        <v>1711</v>
      </c>
      <c r="BE92" t="s">
        <v>1712</v>
      </c>
      <c r="BF92" t="str">
        <f>HYPERLINK("http://dx.doi.org/10.1117/12.670795","http://dx.doi.org/10.1117/12.670795")</f>
        <v>http://dx.doi.org/10.1117/12.670795</v>
      </c>
      <c r="BG92" t="s">
        <v>74</v>
      </c>
      <c r="BH92" t="s">
        <v>74</v>
      </c>
      <c r="BI92">
        <v>12</v>
      </c>
      <c r="BJ92" t="s">
        <v>1695</v>
      </c>
      <c r="BK92" t="s">
        <v>328</v>
      </c>
      <c r="BL92" t="s">
        <v>1695</v>
      </c>
      <c r="BM92" t="s">
        <v>1696</v>
      </c>
      <c r="BN92" t="s">
        <v>74</v>
      </c>
      <c r="BO92" t="s">
        <v>74</v>
      </c>
      <c r="BP92" t="s">
        <v>74</v>
      </c>
      <c r="BQ92" t="s">
        <v>74</v>
      </c>
      <c r="BR92" t="s">
        <v>101</v>
      </c>
      <c r="BS92" t="s">
        <v>1713</v>
      </c>
      <c r="BT92" t="str">
        <f>HYPERLINK("https%3A%2F%2Fwww.webofscience.com%2Fwos%2Fwoscc%2Ffull-record%2FWOS:000240018600050","View Full Record in Web of Science")</f>
        <v>View Full Record in Web of Science</v>
      </c>
    </row>
    <row r="93" spans="1:72" x14ac:dyDescent="0.15">
      <c r="A93" t="s">
        <v>297</v>
      </c>
      <c r="B93" t="s">
        <v>1714</v>
      </c>
      <c r="C93" t="s">
        <v>74</v>
      </c>
      <c r="D93" t="s">
        <v>1676</v>
      </c>
      <c r="E93" t="s">
        <v>74</v>
      </c>
      <c r="F93" t="s">
        <v>1715</v>
      </c>
      <c r="G93" t="s">
        <v>74</v>
      </c>
      <c r="H93" t="s">
        <v>74</v>
      </c>
      <c r="I93" t="s">
        <v>1716</v>
      </c>
      <c r="J93" t="s">
        <v>1679</v>
      </c>
      <c r="K93" t="s">
        <v>303</v>
      </c>
      <c r="L93" t="s">
        <v>74</v>
      </c>
      <c r="M93" t="s">
        <v>77</v>
      </c>
      <c r="N93" t="s">
        <v>304</v>
      </c>
      <c r="O93" t="s">
        <v>1680</v>
      </c>
      <c r="P93" t="s">
        <v>1681</v>
      </c>
      <c r="Q93" t="s">
        <v>1644</v>
      </c>
      <c r="R93" t="s">
        <v>74</v>
      </c>
      <c r="S93" t="s">
        <v>74</v>
      </c>
      <c r="T93" t="s">
        <v>1717</v>
      </c>
      <c r="U93" t="s">
        <v>1718</v>
      </c>
      <c r="V93" t="s">
        <v>1719</v>
      </c>
      <c r="W93" t="s">
        <v>1720</v>
      </c>
      <c r="X93" t="s">
        <v>1721</v>
      </c>
      <c r="Y93" t="s">
        <v>1722</v>
      </c>
      <c r="Z93" t="s">
        <v>1723</v>
      </c>
      <c r="AA93" t="s">
        <v>1724</v>
      </c>
      <c r="AB93" t="s">
        <v>1725</v>
      </c>
      <c r="AC93" t="s">
        <v>1726</v>
      </c>
      <c r="AD93" t="s">
        <v>1727</v>
      </c>
      <c r="AE93" t="s">
        <v>1728</v>
      </c>
      <c r="AF93" t="s">
        <v>74</v>
      </c>
      <c r="AG93">
        <v>26</v>
      </c>
      <c r="AH93">
        <v>2</v>
      </c>
      <c r="AI93">
        <v>2</v>
      </c>
      <c r="AJ93">
        <v>0</v>
      </c>
      <c r="AK93">
        <v>1</v>
      </c>
      <c r="AL93" t="s">
        <v>318</v>
      </c>
      <c r="AM93" t="s">
        <v>319</v>
      </c>
      <c r="AN93" t="s">
        <v>320</v>
      </c>
      <c r="AO93" t="s">
        <v>321</v>
      </c>
      <c r="AP93" t="s">
        <v>322</v>
      </c>
      <c r="AQ93" t="s">
        <v>1691</v>
      </c>
      <c r="AR93" t="s">
        <v>324</v>
      </c>
      <c r="AS93" t="s">
        <v>74</v>
      </c>
      <c r="AT93" t="s">
        <v>74</v>
      </c>
      <c r="AU93">
        <v>2006</v>
      </c>
      <c r="AV93">
        <v>6267</v>
      </c>
      <c r="AW93" t="s">
        <v>74</v>
      </c>
      <c r="AX93" t="s">
        <v>1692</v>
      </c>
      <c r="AY93" t="s">
        <v>74</v>
      </c>
      <c r="AZ93" t="s">
        <v>74</v>
      </c>
      <c r="BA93" t="s">
        <v>74</v>
      </c>
      <c r="BB93" t="s">
        <v>74</v>
      </c>
      <c r="BC93" t="s">
        <v>74</v>
      </c>
      <c r="BD93">
        <v>626719</v>
      </c>
      <c r="BE93" t="s">
        <v>1729</v>
      </c>
      <c r="BF93" t="str">
        <f>HYPERLINK("http://dx.doi.org/10.1117/12.672299","http://dx.doi.org/10.1117/12.672299")</f>
        <v>http://dx.doi.org/10.1117/12.672299</v>
      </c>
      <c r="BG93" t="s">
        <v>74</v>
      </c>
      <c r="BH93" t="s">
        <v>74</v>
      </c>
      <c r="BI93">
        <v>12</v>
      </c>
      <c r="BJ93" t="s">
        <v>1695</v>
      </c>
      <c r="BK93" t="s">
        <v>328</v>
      </c>
      <c r="BL93" t="s">
        <v>1695</v>
      </c>
      <c r="BM93" t="s">
        <v>1696</v>
      </c>
      <c r="BN93" t="s">
        <v>74</v>
      </c>
      <c r="BO93" t="s">
        <v>534</v>
      </c>
      <c r="BP93" t="s">
        <v>74</v>
      </c>
      <c r="BQ93" t="s">
        <v>74</v>
      </c>
      <c r="BR93" t="s">
        <v>101</v>
      </c>
      <c r="BS93" t="s">
        <v>1730</v>
      </c>
      <c r="BT93" t="str">
        <f>HYPERLINK("https%3A%2F%2Fwww.webofscience.com%2Fwos%2Fwoscc%2Ffull-record%2FWOS:000240018600043","View Full Record in Web of Science")</f>
        <v>View Full Record in Web of Science</v>
      </c>
    </row>
    <row r="94" spans="1:72" x14ac:dyDescent="0.15">
      <c r="A94" t="s">
        <v>297</v>
      </c>
      <c r="B94" t="s">
        <v>1731</v>
      </c>
      <c r="C94" t="s">
        <v>74</v>
      </c>
      <c r="D94" t="s">
        <v>1676</v>
      </c>
      <c r="E94" t="s">
        <v>74</v>
      </c>
      <c r="F94" t="s">
        <v>1732</v>
      </c>
      <c r="G94" t="s">
        <v>74</v>
      </c>
      <c r="H94" t="s">
        <v>74</v>
      </c>
      <c r="I94" t="s">
        <v>1733</v>
      </c>
      <c r="J94" t="s">
        <v>1679</v>
      </c>
      <c r="K94" t="s">
        <v>303</v>
      </c>
      <c r="L94" t="s">
        <v>74</v>
      </c>
      <c r="M94" t="s">
        <v>77</v>
      </c>
      <c r="N94" t="s">
        <v>304</v>
      </c>
      <c r="O94" t="s">
        <v>1680</v>
      </c>
      <c r="P94" t="s">
        <v>1681</v>
      </c>
      <c r="Q94" t="s">
        <v>1644</v>
      </c>
      <c r="R94" t="s">
        <v>74</v>
      </c>
      <c r="S94" t="s">
        <v>74</v>
      </c>
      <c r="T94" t="s">
        <v>1734</v>
      </c>
      <c r="U94" t="s">
        <v>1735</v>
      </c>
      <c r="V94" t="s">
        <v>1736</v>
      </c>
      <c r="W94" t="s">
        <v>1737</v>
      </c>
      <c r="X94" t="s">
        <v>1738</v>
      </c>
      <c r="Y94" t="s">
        <v>1739</v>
      </c>
      <c r="Z94" t="s">
        <v>1740</v>
      </c>
      <c r="AA94" t="s">
        <v>74</v>
      </c>
      <c r="AB94" t="s">
        <v>1741</v>
      </c>
      <c r="AC94" t="s">
        <v>1742</v>
      </c>
      <c r="AD94" t="s">
        <v>1743</v>
      </c>
      <c r="AE94" t="s">
        <v>1744</v>
      </c>
      <c r="AF94" t="s">
        <v>74</v>
      </c>
      <c r="AG94">
        <v>24</v>
      </c>
      <c r="AH94">
        <v>2</v>
      </c>
      <c r="AI94">
        <v>2</v>
      </c>
      <c r="AJ94">
        <v>0</v>
      </c>
      <c r="AK94">
        <v>4</v>
      </c>
      <c r="AL94" t="s">
        <v>318</v>
      </c>
      <c r="AM94" t="s">
        <v>319</v>
      </c>
      <c r="AN94" t="s">
        <v>320</v>
      </c>
      <c r="AO94" t="s">
        <v>321</v>
      </c>
      <c r="AP94" t="s">
        <v>74</v>
      </c>
      <c r="AQ94" t="s">
        <v>1691</v>
      </c>
      <c r="AR94" t="s">
        <v>324</v>
      </c>
      <c r="AS94" t="s">
        <v>74</v>
      </c>
      <c r="AT94" t="s">
        <v>74</v>
      </c>
      <c r="AU94">
        <v>2006</v>
      </c>
      <c r="AV94">
        <v>6267</v>
      </c>
      <c r="AW94" t="s">
        <v>74</v>
      </c>
      <c r="AX94" t="s">
        <v>1692</v>
      </c>
      <c r="AY94" t="s">
        <v>74</v>
      </c>
      <c r="AZ94" t="s">
        <v>74</v>
      </c>
      <c r="BA94" t="s">
        <v>74</v>
      </c>
      <c r="BB94" t="s">
        <v>74</v>
      </c>
      <c r="BC94" t="s">
        <v>74</v>
      </c>
      <c r="BD94" t="s">
        <v>1745</v>
      </c>
      <c r="BE94" t="s">
        <v>1746</v>
      </c>
      <c r="BF94" t="str">
        <f>HYPERLINK("http://dx.doi.org/10.1117/12.672362","http://dx.doi.org/10.1117/12.672362")</f>
        <v>http://dx.doi.org/10.1117/12.672362</v>
      </c>
      <c r="BG94" t="s">
        <v>74</v>
      </c>
      <c r="BH94" t="s">
        <v>74</v>
      </c>
      <c r="BI94">
        <v>9</v>
      </c>
      <c r="BJ94" t="s">
        <v>1695</v>
      </c>
      <c r="BK94" t="s">
        <v>328</v>
      </c>
      <c r="BL94" t="s">
        <v>1695</v>
      </c>
      <c r="BM94" t="s">
        <v>1696</v>
      </c>
      <c r="BN94" t="s">
        <v>74</v>
      </c>
      <c r="BO94" t="s">
        <v>74</v>
      </c>
      <c r="BP94" t="s">
        <v>74</v>
      </c>
      <c r="BQ94" t="s">
        <v>74</v>
      </c>
      <c r="BR94" t="s">
        <v>101</v>
      </c>
      <c r="BS94" t="s">
        <v>1747</v>
      </c>
      <c r="BT94" t="str">
        <f>HYPERLINK("https%3A%2F%2Fwww.webofscience.com%2Fwos%2Fwoscc%2Ffull-record%2FWOS:000240018600054","View Full Record in Web of Science")</f>
        <v>View Full Record in Web of Science</v>
      </c>
    </row>
    <row r="95" spans="1:72" x14ac:dyDescent="0.15">
      <c r="A95" t="s">
        <v>297</v>
      </c>
      <c r="B95" t="s">
        <v>1748</v>
      </c>
      <c r="C95" t="s">
        <v>74</v>
      </c>
      <c r="D95" t="s">
        <v>1676</v>
      </c>
      <c r="E95" t="s">
        <v>74</v>
      </c>
      <c r="F95" t="s">
        <v>1749</v>
      </c>
      <c r="G95" t="s">
        <v>74</v>
      </c>
      <c r="H95" t="s">
        <v>74</v>
      </c>
      <c r="I95" t="s">
        <v>1750</v>
      </c>
      <c r="J95" t="s">
        <v>1679</v>
      </c>
      <c r="K95" t="s">
        <v>303</v>
      </c>
      <c r="L95" t="s">
        <v>74</v>
      </c>
      <c r="M95" t="s">
        <v>77</v>
      </c>
      <c r="N95" t="s">
        <v>304</v>
      </c>
      <c r="O95" t="s">
        <v>1680</v>
      </c>
      <c r="P95" t="s">
        <v>1681</v>
      </c>
      <c r="Q95" t="s">
        <v>1644</v>
      </c>
      <c r="R95" t="s">
        <v>74</v>
      </c>
      <c r="S95" t="s">
        <v>74</v>
      </c>
      <c r="T95" t="s">
        <v>1751</v>
      </c>
      <c r="U95" t="s">
        <v>1752</v>
      </c>
      <c r="V95" t="s">
        <v>1753</v>
      </c>
      <c r="W95" t="s">
        <v>1754</v>
      </c>
      <c r="X95" t="s">
        <v>1738</v>
      </c>
      <c r="Y95" t="s">
        <v>1755</v>
      </c>
      <c r="Z95" t="s">
        <v>1756</v>
      </c>
      <c r="AA95" t="s">
        <v>1757</v>
      </c>
      <c r="AB95" t="s">
        <v>1758</v>
      </c>
      <c r="AC95" t="s">
        <v>74</v>
      </c>
      <c r="AD95" t="s">
        <v>74</v>
      </c>
      <c r="AE95" t="s">
        <v>74</v>
      </c>
      <c r="AF95" t="s">
        <v>74</v>
      </c>
      <c r="AG95">
        <v>32</v>
      </c>
      <c r="AH95">
        <v>4</v>
      </c>
      <c r="AI95">
        <v>4</v>
      </c>
      <c r="AJ95">
        <v>0</v>
      </c>
      <c r="AK95">
        <v>0</v>
      </c>
      <c r="AL95" t="s">
        <v>318</v>
      </c>
      <c r="AM95" t="s">
        <v>319</v>
      </c>
      <c r="AN95" t="s">
        <v>320</v>
      </c>
      <c r="AO95" t="s">
        <v>321</v>
      </c>
      <c r="AP95" t="s">
        <v>322</v>
      </c>
      <c r="AQ95" t="s">
        <v>1691</v>
      </c>
      <c r="AR95" t="s">
        <v>324</v>
      </c>
      <c r="AS95" t="s">
        <v>74</v>
      </c>
      <c r="AT95" t="s">
        <v>74</v>
      </c>
      <c r="AU95">
        <v>2006</v>
      </c>
      <c r="AV95">
        <v>6267</v>
      </c>
      <c r="AW95" t="s">
        <v>74</v>
      </c>
      <c r="AX95" t="s">
        <v>1692</v>
      </c>
      <c r="AY95" t="s">
        <v>74</v>
      </c>
      <c r="AZ95" t="s">
        <v>74</v>
      </c>
      <c r="BA95" t="s">
        <v>74</v>
      </c>
      <c r="BB95" t="s">
        <v>74</v>
      </c>
      <c r="BC95" t="s">
        <v>74</v>
      </c>
      <c r="BD95" t="s">
        <v>1759</v>
      </c>
      <c r="BE95" t="s">
        <v>1760</v>
      </c>
      <c r="BF95" t="str">
        <f>HYPERLINK("http://dx.doi.org/10.1117/12.670960","http://dx.doi.org/10.1117/12.670960")</f>
        <v>http://dx.doi.org/10.1117/12.670960</v>
      </c>
      <c r="BG95" t="s">
        <v>74</v>
      </c>
      <c r="BH95" t="s">
        <v>74</v>
      </c>
      <c r="BI95">
        <v>9</v>
      </c>
      <c r="BJ95" t="s">
        <v>1695</v>
      </c>
      <c r="BK95" t="s">
        <v>328</v>
      </c>
      <c r="BL95" t="s">
        <v>1695</v>
      </c>
      <c r="BM95" t="s">
        <v>1696</v>
      </c>
      <c r="BN95" t="s">
        <v>74</v>
      </c>
      <c r="BO95" t="s">
        <v>534</v>
      </c>
      <c r="BP95" t="s">
        <v>74</v>
      </c>
      <c r="BQ95" t="s">
        <v>74</v>
      </c>
      <c r="BR95" t="s">
        <v>101</v>
      </c>
      <c r="BS95" t="s">
        <v>1761</v>
      </c>
      <c r="BT95" t="str">
        <f>HYPERLINK("https%3A%2F%2Fwww.webofscience.com%2Fwos%2Fwoscc%2Ffull-record%2FWOS:000240018600053","View Full Record in Web of Science")</f>
        <v>View Full Record in Web of Science</v>
      </c>
    </row>
    <row r="96" spans="1:72" x14ac:dyDescent="0.15">
      <c r="A96" t="s">
        <v>297</v>
      </c>
      <c r="B96" t="s">
        <v>1762</v>
      </c>
      <c r="C96" t="s">
        <v>74</v>
      </c>
      <c r="D96" t="s">
        <v>1676</v>
      </c>
      <c r="E96" t="s">
        <v>74</v>
      </c>
      <c r="F96" t="s">
        <v>1763</v>
      </c>
      <c r="G96" t="s">
        <v>74</v>
      </c>
      <c r="H96" t="s">
        <v>74</v>
      </c>
      <c r="I96" t="s">
        <v>1764</v>
      </c>
      <c r="J96" t="s">
        <v>1679</v>
      </c>
      <c r="K96" t="s">
        <v>303</v>
      </c>
      <c r="L96" t="s">
        <v>74</v>
      </c>
      <c r="M96" t="s">
        <v>77</v>
      </c>
      <c r="N96" t="s">
        <v>304</v>
      </c>
      <c r="O96" t="s">
        <v>1680</v>
      </c>
      <c r="P96" t="s">
        <v>1681</v>
      </c>
      <c r="Q96" t="s">
        <v>1644</v>
      </c>
      <c r="R96" t="s">
        <v>74</v>
      </c>
      <c r="S96" t="s">
        <v>74</v>
      </c>
      <c r="T96" t="s">
        <v>1765</v>
      </c>
      <c r="U96" t="s">
        <v>1766</v>
      </c>
      <c r="V96" t="s">
        <v>1767</v>
      </c>
      <c r="W96" t="s">
        <v>1768</v>
      </c>
      <c r="X96" t="s">
        <v>1769</v>
      </c>
      <c r="Y96" t="s">
        <v>1770</v>
      </c>
      <c r="Z96" t="s">
        <v>1771</v>
      </c>
      <c r="AA96" t="s">
        <v>74</v>
      </c>
      <c r="AB96" t="s">
        <v>1772</v>
      </c>
      <c r="AC96" t="s">
        <v>74</v>
      </c>
      <c r="AD96" t="s">
        <v>74</v>
      </c>
      <c r="AE96" t="s">
        <v>74</v>
      </c>
      <c r="AF96" t="s">
        <v>74</v>
      </c>
      <c r="AG96">
        <v>42</v>
      </c>
      <c r="AH96">
        <v>1</v>
      </c>
      <c r="AI96">
        <v>1</v>
      </c>
      <c r="AJ96">
        <v>0</v>
      </c>
      <c r="AK96">
        <v>2</v>
      </c>
      <c r="AL96" t="s">
        <v>318</v>
      </c>
      <c r="AM96" t="s">
        <v>319</v>
      </c>
      <c r="AN96" t="s">
        <v>320</v>
      </c>
      <c r="AO96" t="s">
        <v>321</v>
      </c>
      <c r="AP96" t="s">
        <v>322</v>
      </c>
      <c r="AQ96" t="s">
        <v>1691</v>
      </c>
      <c r="AR96" t="s">
        <v>324</v>
      </c>
      <c r="AS96" t="s">
        <v>74</v>
      </c>
      <c r="AT96" t="s">
        <v>74</v>
      </c>
      <c r="AU96">
        <v>2006</v>
      </c>
      <c r="AV96">
        <v>6267</v>
      </c>
      <c r="AW96" t="s">
        <v>74</v>
      </c>
      <c r="AX96" t="s">
        <v>1692</v>
      </c>
      <c r="AY96" t="s">
        <v>74</v>
      </c>
      <c r="AZ96" t="s">
        <v>74</v>
      </c>
      <c r="BA96" t="s">
        <v>74</v>
      </c>
      <c r="BB96" t="s">
        <v>74</v>
      </c>
      <c r="BC96" t="s">
        <v>74</v>
      </c>
      <c r="BD96" t="s">
        <v>1773</v>
      </c>
      <c r="BE96" t="s">
        <v>1774</v>
      </c>
      <c r="BF96" t="str">
        <f>HYPERLINK("http://dx.doi.org/10.1117/12.672159","http://dx.doi.org/10.1117/12.672159")</f>
        <v>http://dx.doi.org/10.1117/12.672159</v>
      </c>
      <c r="BG96" t="s">
        <v>74</v>
      </c>
      <c r="BH96" t="s">
        <v>74</v>
      </c>
      <c r="BI96">
        <v>11</v>
      </c>
      <c r="BJ96" t="s">
        <v>1695</v>
      </c>
      <c r="BK96" t="s">
        <v>328</v>
      </c>
      <c r="BL96" t="s">
        <v>1695</v>
      </c>
      <c r="BM96" t="s">
        <v>1696</v>
      </c>
      <c r="BN96" t="s">
        <v>74</v>
      </c>
      <c r="BO96" t="s">
        <v>534</v>
      </c>
      <c r="BP96" t="s">
        <v>74</v>
      </c>
      <c r="BQ96" t="s">
        <v>74</v>
      </c>
      <c r="BR96" t="s">
        <v>101</v>
      </c>
      <c r="BS96" t="s">
        <v>1775</v>
      </c>
      <c r="BT96" t="str">
        <f>HYPERLINK("https%3A%2F%2Fwww.webofscience.com%2Fwos%2Fwoscc%2Ffull-record%2FWOS:000240018600047","View Full Record in Web of Science")</f>
        <v>View Full Record in Web of Science</v>
      </c>
    </row>
    <row r="97" spans="1:72" x14ac:dyDescent="0.15">
      <c r="A97" t="s">
        <v>297</v>
      </c>
      <c r="B97" t="s">
        <v>1776</v>
      </c>
      <c r="C97" t="s">
        <v>74</v>
      </c>
      <c r="D97" t="s">
        <v>1676</v>
      </c>
      <c r="E97" t="s">
        <v>74</v>
      </c>
      <c r="F97" t="s">
        <v>1777</v>
      </c>
      <c r="G97" t="s">
        <v>74</v>
      </c>
      <c r="H97" t="s">
        <v>74</v>
      </c>
      <c r="I97" t="s">
        <v>1778</v>
      </c>
      <c r="J97" t="s">
        <v>1679</v>
      </c>
      <c r="K97" t="s">
        <v>303</v>
      </c>
      <c r="L97" t="s">
        <v>74</v>
      </c>
      <c r="M97" t="s">
        <v>77</v>
      </c>
      <c r="N97" t="s">
        <v>304</v>
      </c>
      <c r="O97" t="s">
        <v>1680</v>
      </c>
      <c r="P97" t="s">
        <v>1681</v>
      </c>
      <c r="Q97" t="s">
        <v>1644</v>
      </c>
      <c r="R97" t="s">
        <v>74</v>
      </c>
      <c r="S97" t="s">
        <v>74</v>
      </c>
      <c r="T97" t="s">
        <v>1779</v>
      </c>
      <c r="U97" t="s">
        <v>1780</v>
      </c>
      <c r="V97" t="s">
        <v>1781</v>
      </c>
      <c r="W97" t="s">
        <v>1782</v>
      </c>
      <c r="X97" t="s">
        <v>1783</v>
      </c>
      <c r="Y97" t="s">
        <v>1784</v>
      </c>
      <c r="Z97" t="s">
        <v>74</v>
      </c>
      <c r="AA97" t="s">
        <v>74</v>
      </c>
      <c r="AB97" t="s">
        <v>74</v>
      </c>
      <c r="AC97" t="s">
        <v>74</v>
      </c>
      <c r="AD97" t="s">
        <v>74</v>
      </c>
      <c r="AE97" t="s">
        <v>74</v>
      </c>
      <c r="AF97" t="s">
        <v>74</v>
      </c>
      <c r="AG97">
        <v>15</v>
      </c>
      <c r="AH97">
        <v>2</v>
      </c>
      <c r="AI97">
        <v>2</v>
      </c>
      <c r="AJ97">
        <v>1</v>
      </c>
      <c r="AK97">
        <v>1</v>
      </c>
      <c r="AL97" t="s">
        <v>318</v>
      </c>
      <c r="AM97" t="s">
        <v>319</v>
      </c>
      <c r="AN97" t="s">
        <v>320</v>
      </c>
      <c r="AO97" t="s">
        <v>321</v>
      </c>
      <c r="AP97" t="s">
        <v>74</v>
      </c>
      <c r="AQ97" t="s">
        <v>1691</v>
      </c>
      <c r="AR97" t="s">
        <v>324</v>
      </c>
      <c r="AS97" t="s">
        <v>74</v>
      </c>
      <c r="AT97" t="s">
        <v>74</v>
      </c>
      <c r="AU97">
        <v>2006</v>
      </c>
      <c r="AV97">
        <v>6267</v>
      </c>
      <c r="AW97" t="s">
        <v>74</v>
      </c>
      <c r="AX97" t="s">
        <v>1692</v>
      </c>
      <c r="AY97" t="s">
        <v>74</v>
      </c>
      <c r="AZ97" t="s">
        <v>74</v>
      </c>
      <c r="BA97" t="s">
        <v>74</v>
      </c>
      <c r="BB97" t="s">
        <v>74</v>
      </c>
      <c r="BC97" t="s">
        <v>74</v>
      </c>
      <c r="BD97" t="s">
        <v>1785</v>
      </c>
      <c r="BE97" t="s">
        <v>1786</v>
      </c>
      <c r="BF97" t="str">
        <f>HYPERLINK("http://dx.doi.org/10.1117/12.670657","http://dx.doi.org/10.1117/12.670657")</f>
        <v>http://dx.doi.org/10.1117/12.670657</v>
      </c>
      <c r="BG97" t="s">
        <v>74</v>
      </c>
      <c r="BH97" t="s">
        <v>74</v>
      </c>
      <c r="BI97">
        <v>8</v>
      </c>
      <c r="BJ97" t="s">
        <v>1695</v>
      </c>
      <c r="BK97" t="s">
        <v>328</v>
      </c>
      <c r="BL97" t="s">
        <v>1695</v>
      </c>
      <c r="BM97" t="s">
        <v>1696</v>
      </c>
      <c r="BN97" t="s">
        <v>74</v>
      </c>
      <c r="BO97" t="s">
        <v>74</v>
      </c>
      <c r="BP97" t="s">
        <v>74</v>
      </c>
      <c r="BQ97" t="s">
        <v>74</v>
      </c>
      <c r="BR97" t="s">
        <v>101</v>
      </c>
      <c r="BS97" t="s">
        <v>1787</v>
      </c>
      <c r="BT97" t="str">
        <f>HYPERLINK("https%3A%2F%2Fwww.webofscience.com%2Fwos%2Fwoscc%2Ffull-record%2FWOS:000240018600052","View Full Record in Web of Science")</f>
        <v>View Full Record in Web of Science</v>
      </c>
    </row>
    <row r="98" spans="1:72" x14ac:dyDescent="0.15">
      <c r="A98" t="s">
        <v>297</v>
      </c>
      <c r="B98" t="s">
        <v>1788</v>
      </c>
      <c r="C98" t="s">
        <v>74</v>
      </c>
      <c r="D98" t="s">
        <v>1676</v>
      </c>
      <c r="E98" t="s">
        <v>74</v>
      </c>
      <c r="F98" t="s">
        <v>1789</v>
      </c>
      <c r="G98" t="s">
        <v>74</v>
      </c>
      <c r="H98" t="s">
        <v>1790</v>
      </c>
      <c r="I98" t="s">
        <v>1791</v>
      </c>
      <c r="J98" t="s">
        <v>1679</v>
      </c>
      <c r="K98" t="s">
        <v>303</v>
      </c>
      <c r="L98" t="s">
        <v>74</v>
      </c>
      <c r="M98" t="s">
        <v>77</v>
      </c>
      <c r="N98" t="s">
        <v>304</v>
      </c>
      <c r="O98" t="s">
        <v>1680</v>
      </c>
      <c r="P98" t="s">
        <v>1681</v>
      </c>
      <c r="Q98" t="s">
        <v>1644</v>
      </c>
      <c r="R98" t="s">
        <v>74</v>
      </c>
      <c r="S98" t="s">
        <v>74</v>
      </c>
      <c r="T98" t="s">
        <v>1792</v>
      </c>
      <c r="U98" t="s">
        <v>74</v>
      </c>
      <c r="V98" t="s">
        <v>1793</v>
      </c>
      <c r="W98" t="s">
        <v>1794</v>
      </c>
      <c r="X98" t="s">
        <v>1795</v>
      </c>
      <c r="Y98" t="s">
        <v>1796</v>
      </c>
      <c r="Z98" t="s">
        <v>1797</v>
      </c>
      <c r="AA98" t="s">
        <v>1798</v>
      </c>
      <c r="AB98" t="s">
        <v>1799</v>
      </c>
      <c r="AC98" t="s">
        <v>1800</v>
      </c>
      <c r="AD98" t="s">
        <v>1801</v>
      </c>
      <c r="AE98" t="s">
        <v>1802</v>
      </c>
      <c r="AF98" t="s">
        <v>74</v>
      </c>
      <c r="AG98">
        <v>4</v>
      </c>
      <c r="AH98">
        <v>37</v>
      </c>
      <c r="AI98">
        <v>37</v>
      </c>
      <c r="AJ98">
        <v>0</v>
      </c>
      <c r="AK98">
        <v>2</v>
      </c>
      <c r="AL98" t="s">
        <v>318</v>
      </c>
      <c r="AM98" t="s">
        <v>319</v>
      </c>
      <c r="AN98" t="s">
        <v>320</v>
      </c>
      <c r="AO98" t="s">
        <v>321</v>
      </c>
      <c r="AP98" t="s">
        <v>322</v>
      </c>
      <c r="AQ98" t="s">
        <v>1691</v>
      </c>
      <c r="AR98" t="s">
        <v>324</v>
      </c>
      <c r="AS98" t="s">
        <v>74</v>
      </c>
      <c r="AT98" t="s">
        <v>74</v>
      </c>
      <c r="AU98">
        <v>2006</v>
      </c>
      <c r="AV98">
        <v>6267</v>
      </c>
      <c r="AW98" t="s">
        <v>74</v>
      </c>
      <c r="AX98" t="s">
        <v>1692</v>
      </c>
      <c r="AY98" t="s">
        <v>74</v>
      </c>
      <c r="AZ98" t="s">
        <v>74</v>
      </c>
      <c r="BA98" t="s">
        <v>74</v>
      </c>
      <c r="BB98" t="s">
        <v>74</v>
      </c>
      <c r="BC98" t="s">
        <v>74</v>
      </c>
      <c r="BD98" t="s">
        <v>1803</v>
      </c>
      <c r="BE98" t="s">
        <v>1804</v>
      </c>
      <c r="BF98" t="str">
        <f>HYPERLINK("http://dx.doi.org/10.1117/12.670302","http://dx.doi.org/10.1117/12.670302")</f>
        <v>http://dx.doi.org/10.1117/12.670302</v>
      </c>
      <c r="BG98" t="s">
        <v>74</v>
      </c>
      <c r="BH98" t="s">
        <v>74</v>
      </c>
      <c r="BI98">
        <v>12</v>
      </c>
      <c r="BJ98" t="s">
        <v>1695</v>
      </c>
      <c r="BK98" t="s">
        <v>328</v>
      </c>
      <c r="BL98" t="s">
        <v>1695</v>
      </c>
      <c r="BM98" t="s">
        <v>1696</v>
      </c>
      <c r="BN98" t="s">
        <v>74</v>
      </c>
      <c r="BO98" t="s">
        <v>74</v>
      </c>
      <c r="BP98" t="s">
        <v>74</v>
      </c>
      <c r="BQ98" t="s">
        <v>74</v>
      </c>
      <c r="BR98" t="s">
        <v>101</v>
      </c>
      <c r="BS98" t="s">
        <v>1805</v>
      </c>
      <c r="BT98" t="str">
        <f>HYPERLINK("https%3A%2F%2Fwww.webofscience.com%2Fwos%2Fwoscc%2Ffull-record%2FWOS:000240018600049","View Full Record in Web of Science")</f>
        <v>View Full Record in Web of Science</v>
      </c>
    </row>
    <row r="99" spans="1:72" x14ac:dyDescent="0.15">
      <c r="A99" t="s">
        <v>297</v>
      </c>
      <c r="B99" t="s">
        <v>1806</v>
      </c>
      <c r="C99" t="s">
        <v>74</v>
      </c>
      <c r="D99" t="s">
        <v>1676</v>
      </c>
      <c r="E99" t="s">
        <v>74</v>
      </c>
      <c r="F99" t="s">
        <v>1807</v>
      </c>
      <c r="G99" t="s">
        <v>74</v>
      </c>
      <c r="H99" t="s">
        <v>74</v>
      </c>
      <c r="I99" t="s">
        <v>1808</v>
      </c>
      <c r="J99" t="s">
        <v>1679</v>
      </c>
      <c r="K99" t="s">
        <v>303</v>
      </c>
      <c r="L99" t="s">
        <v>74</v>
      </c>
      <c r="M99" t="s">
        <v>77</v>
      </c>
      <c r="N99" t="s">
        <v>304</v>
      </c>
      <c r="O99" t="s">
        <v>1680</v>
      </c>
      <c r="P99" t="s">
        <v>1681</v>
      </c>
      <c r="Q99" t="s">
        <v>1644</v>
      </c>
      <c r="R99" t="s">
        <v>74</v>
      </c>
      <c r="S99" t="s">
        <v>74</v>
      </c>
      <c r="T99" t="s">
        <v>1809</v>
      </c>
      <c r="U99" t="s">
        <v>74</v>
      </c>
      <c r="V99" t="s">
        <v>1810</v>
      </c>
      <c r="W99" t="s">
        <v>1811</v>
      </c>
      <c r="X99" t="s">
        <v>1812</v>
      </c>
      <c r="Y99" t="s">
        <v>1813</v>
      </c>
      <c r="Z99" t="s">
        <v>1814</v>
      </c>
      <c r="AA99" t="s">
        <v>74</v>
      </c>
      <c r="AB99" t="s">
        <v>1815</v>
      </c>
      <c r="AC99" t="s">
        <v>74</v>
      </c>
      <c r="AD99" t="s">
        <v>74</v>
      </c>
      <c r="AE99" t="s">
        <v>74</v>
      </c>
      <c r="AF99" t="s">
        <v>74</v>
      </c>
      <c r="AG99">
        <v>5</v>
      </c>
      <c r="AH99">
        <v>1</v>
      </c>
      <c r="AI99">
        <v>1</v>
      </c>
      <c r="AJ99">
        <v>0</v>
      </c>
      <c r="AK99">
        <v>2</v>
      </c>
      <c r="AL99" t="s">
        <v>318</v>
      </c>
      <c r="AM99" t="s">
        <v>319</v>
      </c>
      <c r="AN99" t="s">
        <v>320</v>
      </c>
      <c r="AO99" t="s">
        <v>321</v>
      </c>
      <c r="AP99" t="s">
        <v>74</v>
      </c>
      <c r="AQ99" t="s">
        <v>1691</v>
      </c>
      <c r="AR99" t="s">
        <v>324</v>
      </c>
      <c r="AS99" t="s">
        <v>74</v>
      </c>
      <c r="AT99" t="s">
        <v>74</v>
      </c>
      <c r="AU99">
        <v>2006</v>
      </c>
      <c r="AV99">
        <v>6267</v>
      </c>
      <c r="AW99" t="s">
        <v>74</v>
      </c>
      <c r="AX99" t="s">
        <v>1692</v>
      </c>
      <c r="AY99" t="s">
        <v>74</v>
      </c>
      <c r="AZ99" t="s">
        <v>74</v>
      </c>
      <c r="BA99" t="s">
        <v>74</v>
      </c>
      <c r="BB99" t="s">
        <v>74</v>
      </c>
      <c r="BC99" t="s">
        <v>74</v>
      </c>
      <c r="BD99">
        <v>626718</v>
      </c>
      <c r="BE99" t="s">
        <v>1816</v>
      </c>
      <c r="BF99" t="str">
        <f>HYPERLINK("http://dx.doi.org/10.1117/12.671325","http://dx.doi.org/10.1117/12.671325")</f>
        <v>http://dx.doi.org/10.1117/12.671325</v>
      </c>
      <c r="BG99" t="s">
        <v>74</v>
      </c>
      <c r="BH99" t="s">
        <v>74</v>
      </c>
      <c r="BI99">
        <v>9</v>
      </c>
      <c r="BJ99" t="s">
        <v>1695</v>
      </c>
      <c r="BK99" t="s">
        <v>328</v>
      </c>
      <c r="BL99" t="s">
        <v>1695</v>
      </c>
      <c r="BM99" t="s">
        <v>1696</v>
      </c>
      <c r="BN99" t="s">
        <v>74</v>
      </c>
      <c r="BO99" t="s">
        <v>74</v>
      </c>
      <c r="BP99" t="s">
        <v>74</v>
      </c>
      <c r="BQ99" t="s">
        <v>74</v>
      </c>
      <c r="BR99" t="s">
        <v>101</v>
      </c>
      <c r="BS99" t="s">
        <v>1817</v>
      </c>
      <c r="BT99" t="str">
        <f>HYPERLINK("https%3A%2F%2Fwww.webofscience.com%2Fwos%2Fwoscc%2Ffull-record%2FWOS:000240018600042","View Full Record in Web of Science")</f>
        <v>View Full Record in Web of Science</v>
      </c>
    </row>
    <row r="100" spans="1:72" x14ac:dyDescent="0.15">
      <c r="A100" t="s">
        <v>297</v>
      </c>
      <c r="B100" t="s">
        <v>1818</v>
      </c>
      <c r="C100" t="s">
        <v>74</v>
      </c>
      <c r="D100" t="s">
        <v>1676</v>
      </c>
      <c r="E100" t="s">
        <v>74</v>
      </c>
      <c r="F100" t="s">
        <v>1819</v>
      </c>
      <c r="G100" t="s">
        <v>74</v>
      </c>
      <c r="H100" t="s">
        <v>74</v>
      </c>
      <c r="I100" t="s">
        <v>1820</v>
      </c>
      <c r="J100" t="s">
        <v>1679</v>
      </c>
      <c r="K100" t="s">
        <v>303</v>
      </c>
      <c r="L100" t="s">
        <v>74</v>
      </c>
      <c r="M100" t="s">
        <v>77</v>
      </c>
      <c r="N100" t="s">
        <v>304</v>
      </c>
      <c r="O100" t="s">
        <v>1680</v>
      </c>
      <c r="P100" t="s">
        <v>1681</v>
      </c>
      <c r="Q100" t="s">
        <v>1644</v>
      </c>
      <c r="R100" t="s">
        <v>74</v>
      </c>
      <c r="S100" t="s">
        <v>74</v>
      </c>
      <c r="T100" t="s">
        <v>1821</v>
      </c>
      <c r="U100" t="s">
        <v>1822</v>
      </c>
      <c r="V100" t="s">
        <v>1823</v>
      </c>
      <c r="W100" t="s">
        <v>1824</v>
      </c>
      <c r="X100" t="s">
        <v>1825</v>
      </c>
      <c r="Y100" t="s">
        <v>1826</v>
      </c>
      <c r="Z100" t="s">
        <v>1827</v>
      </c>
      <c r="AA100" t="s">
        <v>74</v>
      </c>
      <c r="AB100" t="s">
        <v>1828</v>
      </c>
      <c r="AC100" t="s">
        <v>74</v>
      </c>
      <c r="AD100" t="s">
        <v>74</v>
      </c>
      <c r="AE100" t="s">
        <v>74</v>
      </c>
      <c r="AF100" t="s">
        <v>74</v>
      </c>
      <c r="AG100">
        <v>92</v>
      </c>
      <c r="AH100">
        <v>0</v>
      </c>
      <c r="AI100">
        <v>0</v>
      </c>
      <c r="AJ100">
        <v>1</v>
      </c>
      <c r="AK100">
        <v>5</v>
      </c>
      <c r="AL100" t="s">
        <v>318</v>
      </c>
      <c r="AM100" t="s">
        <v>319</v>
      </c>
      <c r="AN100" t="s">
        <v>320</v>
      </c>
      <c r="AO100" t="s">
        <v>321</v>
      </c>
      <c r="AP100" t="s">
        <v>322</v>
      </c>
      <c r="AQ100" t="s">
        <v>1691</v>
      </c>
      <c r="AR100" t="s">
        <v>324</v>
      </c>
      <c r="AS100" t="s">
        <v>74</v>
      </c>
      <c r="AT100" t="s">
        <v>74</v>
      </c>
      <c r="AU100">
        <v>2006</v>
      </c>
      <c r="AV100">
        <v>6267</v>
      </c>
      <c r="AW100" t="s">
        <v>74</v>
      </c>
      <c r="AX100" t="s">
        <v>1692</v>
      </c>
      <c r="AY100" t="s">
        <v>74</v>
      </c>
      <c r="AZ100" t="s">
        <v>74</v>
      </c>
      <c r="BA100" t="s">
        <v>74</v>
      </c>
      <c r="BB100" t="s">
        <v>74</v>
      </c>
      <c r="BC100" t="s">
        <v>74</v>
      </c>
      <c r="BD100" t="s">
        <v>1829</v>
      </c>
      <c r="BE100" t="s">
        <v>1830</v>
      </c>
      <c r="BF100" t="str">
        <f>HYPERLINK("http://dx.doi.org/10.1117/12.672332","http://dx.doi.org/10.1117/12.672332")</f>
        <v>http://dx.doi.org/10.1117/12.672332</v>
      </c>
      <c r="BG100" t="s">
        <v>74</v>
      </c>
      <c r="BH100" t="s">
        <v>74</v>
      </c>
      <c r="BI100">
        <v>16</v>
      </c>
      <c r="BJ100" t="s">
        <v>1695</v>
      </c>
      <c r="BK100" t="s">
        <v>328</v>
      </c>
      <c r="BL100" t="s">
        <v>1695</v>
      </c>
      <c r="BM100" t="s">
        <v>1696</v>
      </c>
      <c r="BN100" t="s">
        <v>74</v>
      </c>
      <c r="BO100" t="s">
        <v>74</v>
      </c>
      <c r="BP100" t="s">
        <v>74</v>
      </c>
      <c r="BQ100" t="s">
        <v>74</v>
      </c>
      <c r="BR100" t="s">
        <v>101</v>
      </c>
      <c r="BS100" t="s">
        <v>1831</v>
      </c>
      <c r="BT100" t="str">
        <f>HYPERLINK("https%3A%2F%2Fwww.webofscience.com%2Fwos%2Fwoscc%2Ffull-record%2FWOS:000240018600048","View Full Record in Web of Science")</f>
        <v>View Full Record in Web of Science</v>
      </c>
    </row>
    <row r="101" spans="1:72" x14ac:dyDescent="0.15">
      <c r="A101" t="s">
        <v>577</v>
      </c>
      <c r="B101" t="s">
        <v>1832</v>
      </c>
      <c r="C101" t="s">
        <v>74</v>
      </c>
      <c r="D101" t="s">
        <v>1833</v>
      </c>
      <c r="E101" t="s">
        <v>74</v>
      </c>
      <c r="F101" t="s">
        <v>1834</v>
      </c>
      <c r="G101" t="s">
        <v>74</v>
      </c>
      <c r="H101" t="s">
        <v>74</v>
      </c>
      <c r="I101" t="s">
        <v>1835</v>
      </c>
      <c r="J101" t="s">
        <v>1836</v>
      </c>
      <c r="K101" t="s">
        <v>1837</v>
      </c>
      <c r="L101" t="s">
        <v>74</v>
      </c>
      <c r="M101" t="s">
        <v>77</v>
      </c>
      <c r="N101" t="s">
        <v>381</v>
      </c>
      <c r="O101" t="s">
        <v>74</v>
      </c>
      <c r="P101" t="s">
        <v>74</v>
      </c>
      <c r="Q101" t="s">
        <v>74</v>
      </c>
      <c r="R101" t="s">
        <v>74</v>
      </c>
      <c r="S101" t="s">
        <v>74</v>
      </c>
      <c r="T101" t="s">
        <v>74</v>
      </c>
      <c r="U101" t="s">
        <v>74</v>
      </c>
      <c r="V101" t="s">
        <v>1838</v>
      </c>
      <c r="W101" t="s">
        <v>1839</v>
      </c>
      <c r="X101" t="s">
        <v>1840</v>
      </c>
      <c r="Y101" t="s">
        <v>1841</v>
      </c>
      <c r="Z101" t="s">
        <v>1842</v>
      </c>
      <c r="AA101" t="s">
        <v>74</v>
      </c>
      <c r="AB101" t="s">
        <v>74</v>
      </c>
      <c r="AC101" t="s">
        <v>74</v>
      </c>
      <c r="AD101" t="s">
        <v>74</v>
      </c>
      <c r="AE101" t="s">
        <v>74</v>
      </c>
      <c r="AF101" t="s">
        <v>74</v>
      </c>
      <c r="AG101">
        <v>20</v>
      </c>
      <c r="AH101">
        <v>14</v>
      </c>
      <c r="AI101">
        <v>14</v>
      </c>
      <c r="AJ101">
        <v>0</v>
      </c>
      <c r="AK101">
        <v>0</v>
      </c>
      <c r="AL101" t="s">
        <v>1843</v>
      </c>
      <c r="AM101" t="s">
        <v>1844</v>
      </c>
      <c r="AN101" t="s">
        <v>1845</v>
      </c>
      <c r="AO101" t="s">
        <v>1846</v>
      </c>
      <c r="AP101" t="s">
        <v>74</v>
      </c>
      <c r="AQ101" t="s">
        <v>1847</v>
      </c>
      <c r="AR101" t="s">
        <v>1848</v>
      </c>
      <c r="AS101" t="s">
        <v>1849</v>
      </c>
      <c r="AT101" t="s">
        <v>74</v>
      </c>
      <c r="AU101">
        <v>2006</v>
      </c>
      <c r="AV101">
        <v>256</v>
      </c>
      <c r="AW101" t="s">
        <v>74</v>
      </c>
      <c r="AX101" t="s">
        <v>74</v>
      </c>
      <c r="AY101" t="s">
        <v>74</v>
      </c>
      <c r="AZ101" t="s">
        <v>74</v>
      </c>
      <c r="BA101" t="s">
        <v>74</v>
      </c>
      <c r="BB101">
        <v>291</v>
      </c>
      <c r="BC101">
        <v>303</v>
      </c>
      <c r="BD101" t="s">
        <v>74</v>
      </c>
      <c r="BE101" t="s">
        <v>1850</v>
      </c>
      <c r="BF101" t="str">
        <f>HYPERLINK("http://dx.doi.org/10.1144/GSL.SP.2006.256.01.14","http://dx.doi.org/10.1144/GSL.SP.2006.256.01.14")</f>
        <v>http://dx.doi.org/10.1144/GSL.SP.2006.256.01.14</v>
      </c>
      <c r="BG101" t="s">
        <v>74</v>
      </c>
      <c r="BH101" t="s">
        <v>74</v>
      </c>
      <c r="BI101">
        <v>13</v>
      </c>
      <c r="BJ101" t="s">
        <v>1130</v>
      </c>
      <c r="BK101" t="s">
        <v>609</v>
      </c>
      <c r="BL101" t="s">
        <v>1130</v>
      </c>
      <c r="BM101" t="s">
        <v>1851</v>
      </c>
      <c r="BN101" t="s">
        <v>74</v>
      </c>
      <c r="BO101" t="s">
        <v>74</v>
      </c>
      <c r="BP101" t="s">
        <v>74</v>
      </c>
      <c r="BQ101" t="s">
        <v>74</v>
      </c>
      <c r="BR101" t="s">
        <v>101</v>
      </c>
      <c r="BS101" t="s">
        <v>1852</v>
      </c>
      <c r="BT101" t="str">
        <f>HYPERLINK("https%3A%2F%2Fwww.webofscience.com%2Fwos%2Fwoscc%2Ffull-record%2FWOS:000269439800015","View Full Record in Web of Science")</f>
        <v>View Full Record in Web of Science</v>
      </c>
    </row>
    <row r="102" spans="1:72" x14ac:dyDescent="0.15">
      <c r="A102" t="s">
        <v>577</v>
      </c>
      <c r="B102" t="s">
        <v>1853</v>
      </c>
      <c r="C102" t="s">
        <v>74</v>
      </c>
      <c r="D102" t="s">
        <v>1833</v>
      </c>
      <c r="E102" t="s">
        <v>74</v>
      </c>
      <c r="F102" t="s">
        <v>1854</v>
      </c>
      <c r="G102" t="s">
        <v>74</v>
      </c>
      <c r="H102" t="s">
        <v>74</v>
      </c>
      <c r="I102" t="s">
        <v>1855</v>
      </c>
      <c r="J102" t="s">
        <v>1836</v>
      </c>
      <c r="K102" t="s">
        <v>1837</v>
      </c>
      <c r="L102" t="s">
        <v>74</v>
      </c>
      <c r="M102" t="s">
        <v>77</v>
      </c>
      <c r="N102" t="s">
        <v>381</v>
      </c>
      <c r="O102" t="s">
        <v>74</v>
      </c>
      <c r="P102" t="s">
        <v>74</v>
      </c>
      <c r="Q102" t="s">
        <v>74</v>
      </c>
      <c r="R102" t="s">
        <v>74</v>
      </c>
      <c r="S102" t="s">
        <v>74</v>
      </c>
      <c r="T102" t="s">
        <v>74</v>
      </c>
      <c r="U102" t="s">
        <v>1856</v>
      </c>
      <c r="V102" t="s">
        <v>1857</v>
      </c>
      <c r="W102" t="s">
        <v>1858</v>
      </c>
      <c r="X102" t="s">
        <v>1859</v>
      </c>
      <c r="Y102" t="s">
        <v>1860</v>
      </c>
      <c r="Z102" t="s">
        <v>1861</v>
      </c>
      <c r="AA102" t="s">
        <v>74</v>
      </c>
      <c r="AB102" t="s">
        <v>74</v>
      </c>
      <c r="AC102" t="s">
        <v>74</v>
      </c>
      <c r="AD102" t="s">
        <v>74</v>
      </c>
      <c r="AE102" t="s">
        <v>74</v>
      </c>
      <c r="AF102" t="s">
        <v>74</v>
      </c>
      <c r="AG102">
        <v>112</v>
      </c>
      <c r="AH102">
        <v>15</v>
      </c>
      <c r="AI102">
        <v>16</v>
      </c>
      <c r="AJ102">
        <v>0</v>
      </c>
      <c r="AK102">
        <v>3</v>
      </c>
      <c r="AL102" t="s">
        <v>1843</v>
      </c>
      <c r="AM102" t="s">
        <v>1844</v>
      </c>
      <c r="AN102" t="s">
        <v>1845</v>
      </c>
      <c r="AO102" t="s">
        <v>1846</v>
      </c>
      <c r="AP102" t="s">
        <v>74</v>
      </c>
      <c r="AQ102" t="s">
        <v>1847</v>
      </c>
      <c r="AR102" t="s">
        <v>1848</v>
      </c>
      <c r="AS102" t="s">
        <v>1849</v>
      </c>
      <c r="AT102" t="s">
        <v>74</v>
      </c>
      <c r="AU102">
        <v>2006</v>
      </c>
      <c r="AV102">
        <v>256</v>
      </c>
      <c r="AW102" t="s">
        <v>74</v>
      </c>
      <c r="AX102" t="s">
        <v>74</v>
      </c>
      <c r="AY102" t="s">
        <v>74</v>
      </c>
      <c r="AZ102" t="s">
        <v>74</v>
      </c>
      <c r="BA102" t="s">
        <v>74</v>
      </c>
      <c r="BB102">
        <v>325</v>
      </c>
      <c r="BC102">
        <v>343</v>
      </c>
      <c r="BD102" t="s">
        <v>74</v>
      </c>
      <c r="BE102" t="s">
        <v>1862</v>
      </c>
      <c r="BF102" t="str">
        <f>HYPERLINK("http://dx.doi.org/10.1144/GSL.SP.2006.256.01.16","http://dx.doi.org/10.1144/GSL.SP.2006.256.01.16")</f>
        <v>http://dx.doi.org/10.1144/GSL.SP.2006.256.01.16</v>
      </c>
      <c r="BG102" t="s">
        <v>74</v>
      </c>
      <c r="BH102" t="s">
        <v>74</v>
      </c>
      <c r="BI102">
        <v>19</v>
      </c>
      <c r="BJ102" t="s">
        <v>1130</v>
      </c>
      <c r="BK102" t="s">
        <v>609</v>
      </c>
      <c r="BL102" t="s">
        <v>1130</v>
      </c>
      <c r="BM102" t="s">
        <v>1851</v>
      </c>
      <c r="BN102" t="s">
        <v>74</v>
      </c>
      <c r="BO102" t="s">
        <v>74</v>
      </c>
      <c r="BP102" t="s">
        <v>74</v>
      </c>
      <c r="BQ102" t="s">
        <v>74</v>
      </c>
      <c r="BR102" t="s">
        <v>101</v>
      </c>
      <c r="BS102" t="s">
        <v>1863</v>
      </c>
      <c r="BT102" t="str">
        <f>HYPERLINK("https%3A%2F%2Fwww.webofscience.com%2Fwos%2Fwoscc%2Ffull-record%2FWOS:000269439800017","View Full Record in Web of Science")</f>
        <v>View Full Record in Web of Science</v>
      </c>
    </row>
    <row r="103" spans="1:72" x14ac:dyDescent="0.15">
      <c r="A103" t="s">
        <v>72</v>
      </c>
      <c r="B103" t="s">
        <v>1864</v>
      </c>
      <c r="C103" t="s">
        <v>74</v>
      </c>
      <c r="D103" t="s">
        <v>74</v>
      </c>
      <c r="E103" t="s">
        <v>74</v>
      </c>
      <c r="F103" t="s">
        <v>1864</v>
      </c>
      <c r="G103" t="s">
        <v>74</v>
      </c>
      <c r="H103" t="s">
        <v>74</v>
      </c>
      <c r="I103" t="s">
        <v>1865</v>
      </c>
      <c r="J103" t="s">
        <v>1866</v>
      </c>
      <c r="K103" t="s">
        <v>74</v>
      </c>
      <c r="L103" t="s">
        <v>74</v>
      </c>
      <c r="M103" t="s">
        <v>77</v>
      </c>
      <c r="N103" t="s">
        <v>78</v>
      </c>
      <c r="O103" t="s">
        <v>74</v>
      </c>
      <c r="P103" t="s">
        <v>74</v>
      </c>
      <c r="Q103" t="s">
        <v>74</v>
      </c>
      <c r="R103" t="s">
        <v>74</v>
      </c>
      <c r="S103" t="s">
        <v>74</v>
      </c>
      <c r="T103" t="s">
        <v>74</v>
      </c>
      <c r="U103" t="s">
        <v>1867</v>
      </c>
      <c r="V103" t="s">
        <v>1868</v>
      </c>
      <c r="W103" t="s">
        <v>1869</v>
      </c>
      <c r="X103" t="s">
        <v>1870</v>
      </c>
      <c r="Y103" t="s">
        <v>1871</v>
      </c>
      <c r="Z103" t="s">
        <v>1872</v>
      </c>
      <c r="AA103" t="s">
        <v>74</v>
      </c>
      <c r="AB103" t="s">
        <v>74</v>
      </c>
      <c r="AC103" t="s">
        <v>74</v>
      </c>
      <c r="AD103" t="s">
        <v>74</v>
      </c>
      <c r="AE103" t="s">
        <v>74</v>
      </c>
      <c r="AF103" t="s">
        <v>74</v>
      </c>
      <c r="AG103">
        <v>48</v>
      </c>
      <c r="AH103">
        <v>31</v>
      </c>
      <c r="AI103">
        <v>36</v>
      </c>
      <c r="AJ103">
        <v>0</v>
      </c>
      <c r="AK103">
        <v>9</v>
      </c>
      <c r="AL103" t="s">
        <v>1873</v>
      </c>
      <c r="AM103" t="s">
        <v>140</v>
      </c>
      <c r="AN103" t="s">
        <v>1874</v>
      </c>
      <c r="AO103" t="s">
        <v>1875</v>
      </c>
      <c r="AP103" t="s">
        <v>74</v>
      </c>
      <c r="AQ103" t="s">
        <v>74</v>
      </c>
      <c r="AR103" t="s">
        <v>1866</v>
      </c>
      <c r="AS103" t="s">
        <v>1876</v>
      </c>
      <c r="AT103" t="s">
        <v>95</v>
      </c>
      <c r="AU103">
        <v>2006</v>
      </c>
      <c r="AV103">
        <v>148</v>
      </c>
      <c r="AW103">
        <v>1</v>
      </c>
      <c r="AX103" t="s">
        <v>74</v>
      </c>
      <c r="AY103" t="s">
        <v>74</v>
      </c>
      <c r="AZ103" t="s">
        <v>74</v>
      </c>
      <c r="BA103" t="s">
        <v>74</v>
      </c>
      <c r="BB103">
        <v>106</v>
      </c>
      <c r="BC103">
        <v>113</v>
      </c>
      <c r="BD103" t="s">
        <v>74</v>
      </c>
      <c r="BE103" t="s">
        <v>1877</v>
      </c>
      <c r="BF103" t="str">
        <f>HYPERLINK("http://dx.doi.org/10.1111/j.1474-919X.2006.00489.x","http://dx.doi.org/10.1111/j.1474-919X.2006.00489.x")</f>
        <v>http://dx.doi.org/10.1111/j.1474-919X.2006.00489.x</v>
      </c>
      <c r="BG103" t="s">
        <v>74</v>
      </c>
      <c r="BH103" t="s">
        <v>74</v>
      </c>
      <c r="BI103">
        <v>8</v>
      </c>
      <c r="BJ103" t="s">
        <v>1178</v>
      </c>
      <c r="BK103" t="s">
        <v>98</v>
      </c>
      <c r="BL103" t="s">
        <v>532</v>
      </c>
      <c r="BM103" t="s">
        <v>1878</v>
      </c>
      <c r="BN103" t="s">
        <v>74</v>
      </c>
      <c r="BO103" t="s">
        <v>74</v>
      </c>
      <c r="BP103" t="s">
        <v>74</v>
      </c>
      <c r="BQ103" t="s">
        <v>74</v>
      </c>
      <c r="BR103" t="s">
        <v>101</v>
      </c>
      <c r="BS103" t="s">
        <v>1879</v>
      </c>
      <c r="BT103" t="str">
        <f>HYPERLINK("https%3A%2F%2Fwww.webofscience.com%2Fwos%2Fwoscc%2Ffull-record%2FWOS:000234739700011","View Full Record in Web of Science")</f>
        <v>View Full Record in Web of Science</v>
      </c>
    </row>
    <row r="104" spans="1:72" x14ac:dyDescent="0.15">
      <c r="A104" t="s">
        <v>72</v>
      </c>
      <c r="B104" t="s">
        <v>1880</v>
      </c>
      <c r="C104" t="s">
        <v>74</v>
      </c>
      <c r="D104" t="s">
        <v>74</v>
      </c>
      <c r="E104" t="s">
        <v>74</v>
      </c>
      <c r="F104" t="s">
        <v>1880</v>
      </c>
      <c r="G104" t="s">
        <v>74</v>
      </c>
      <c r="H104" t="s">
        <v>74</v>
      </c>
      <c r="I104" t="s">
        <v>1881</v>
      </c>
      <c r="J104" t="s">
        <v>1882</v>
      </c>
      <c r="K104" t="s">
        <v>74</v>
      </c>
      <c r="L104" t="s">
        <v>74</v>
      </c>
      <c r="M104" t="s">
        <v>77</v>
      </c>
      <c r="N104" t="s">
        <v>78</v>
      </c>
      <c r="O104" t="s">
        <v>74</v>
      </c>
      <c r="P104" t="s">
        <v>74</v>
      </c>
      <c r="Q104" t="s">
        <v>74</v>
      </c>
      <c r="R104" t="s">
        <v>74</v>
      </c>
      <c r="S104" t="s">
        <v>74</v>
      </c>
      <c r="T104" t="s">
        <v>1883</v>
      </c>
      <c r="U104" t="s">
        <v>1884</v>
      </c>
      <c r="V104" t="s">
        <v>1885</v>
      </c>
      <c r="W104" t="s">
        <v>1886</v>
      </c>
      <c r="X104" t="s">
        <v>1887</v>
      </c>
      <c r="Y104" t="s">
        <v>1888</v>
      </c>
      <c r="Z104" t="s">
        <v>1889</v>
      </c>
      <c r="AA104" t="s">
        <v>1890</v>
      </c>
      <c r="AB104" t="s">
        <v>74</v>
      </c>
      <c r="AC104" t="s">
        <v>74</v>
      </c>
      <c r="AD104" t="s">
        <v>74</v>
      </c>
      <c r="AE104" t="s">
        <v>74</v>
      </c>
      <c r="AF104" t="s">
        <v>74</v>
      </c>
      <c r="AG104">
        <v>20</v>
      </c>
      <c r="AH104">
        <v>18</v>
      </c>
      <c r="AI104">
        <v>20</v>
      </c>
      <c r="AJ104">
        <v>0</v>
      </c>
      <c r="AK104">
        <v>6</v>
      </c>
      <c r="AL104" t="s">
        <v>1891</v>
      </c>
      <c r="AM104" t="s">
        <v>140</v>
      </c>
      <c r="AN104" t="s">
        <v>1892</v>
      </c>
      <c r="AO104" t="s">
        <v>1893</v>
      </c>
      <c r="AP104" t="s">
        <v>1894</v>
      </c>
      <c r="AQ104" t="s">
        <v>74</v>
      </c>
      <c r="AR104" t="s">
        <v>1895</v>
      </c>
      <c r="AS104" t="s">
        <v>1896</v>
      </c>
      <c r="AT104" t="s">
        <v>95</v>
      </c>
      <c r="AU104">
        <v>2006</v>
      </c>
      <c r="AV104">
        <v>63</v>
      </c>
      <c r="AW104">
        <v>1</v>
      </c>
      <c r="AX104" t="s">
        <v>74</v>
      </c>
      <c r="AY104" t="s">
        <v>74</v>
      </c>
      <c r="AZ104" t="s">
        <v>74</v>
      </c>
      <c r="BA104" t="s">
        <v>74</v>
      </c>
      <c r="BB104">
        <v>36</v>
      </c>
      <c r="BC104">
        <v>45</v>
      </c>
      <c r="BD104" t="s">
        <v>74</v>
      </c>
      <c r="BE104" t="s">
        <v>1897</v>
      </c>
      <c r="BF104" t="str">
        <f>HYPERLINK("http://dx.doi.org/10.1016/j.icesjms.2005.07.012","http://dx.doi.org/10.1016/j.icesjms.2005.07.012")</f>
        <v>http://dx.doi.org/10.1016/j.icesjms.2005.07.012</v>
      </c>
      <c r="BG104" t="s">
        <v>74</v>
      </c>
      <c r="BH104" t="s">
        <v>74</v>
      </c>
      <c r="BI104">
        <v>10</v>
      </c>
      <c r="BJ104" t="s">
        <v>1898</v>
      </c>
      <c r="BK104" t="s">
        <v>98</v>
      </c>
      <c r="BL104" t="s">
        <v>1898</v>
      </c>
      <c r="BM104" t="s">
        <v>1899</v>
      </c>
      <c r="BN104" t="s">
        <v>74</v>
      </c>
      <c r="BO104" t="s">
        <v>1900</v>
      </c>
      <c r="BP104" t="s">
        <v>74</v>
      </c>
      <c r="BQ104" t="s">
        <v>74</v>
      </c>
      <c r="BR104" t="s">
        <v>101</v>
      </c>
      <c r="BS104" t="s">
        <v>1901</v>
      </c>
      <c r="BT104" t="str">
        <f>HYPERLINK("https%3A%2F%2Fwww.webofscience.com%2Fwos%2Fwoscc%2Ffull-record%2FWOS:000235095100005","View Full Record in Web of Science")</f>
        <v>View Full Record in Web of Science</v>
      </c>
    </row>
    <row r="105" spans="1:72" x14ac:dyDescent="0.15">
      <c r="A105" t="s">
        <v>72</v>
      </c>
      <c r="B105" t="s">
        <v>1902</v>
      </c>
      <c r="C105" t="s">
        <v>74</v>
      </c>
      <c r="D105" t="s">
        <v>74</v>
      </c>
      <c r="E105" t="s">
        <v>74</v>
      </c>
      <c r="F105" t="s">
        <v>1902</v>
      </c>
      <c r="G105" t="s">
        <v>74</v>
      </c>
      <c r="H105" t="s">
        <v>74</v>
      </c>
      <c r="I105" t="s">
        <v>1903</v>
      </c>
      <c r="J105" t="s">
        <v>1904</v>
      </c>
      <c r="K105" t="s">
        <v>74</v>
      </c>
      <c r="L105" t="s">
        <v>74</v>
      </c>
      <c r="M105" t="s">
        <v>77</v>
      </c>
      <c r="N105" t="s">
        <v>78</v>
      </c>
      <c r="O105" t="s">
        <v>74</v>
      </c>
      <c r="P105" t="s">
        <v>74</v>
      </c>
      <c r="Q105" t="s">
        <v>74</v>
      </c>
      <c r="R105" t="s">
        <v>74</v>
      </c>
      <c r="S105" t="s">
        <v>74</v>
      </c>
      <c r="T105" t="s">
        <v>1905</v>
      </c>
      <c r="U105" t="s">
        <v>1906</v>
      </c>
      <c r="V105" t="s">
        <v>1907</v>
      </c>
      <c r="W105" t="s">
        <v>1908</v>
      </c>
      <c r="X105" t="s">
        <v>1909</v>
      </c>
      <c r="Y105" t="s">
        <v>1910</v>
      </c>
      <c r="Z105" t="s">
        <v>1911</v>
      </c>
      <c r="AA105" t="s">
        <v>1912</v>
      </c>
      <c r="AB105" t="s">
        <v>1913</v>
      </c>
      <c r="AC105" t="s">
        <v>74</v>
      </c>
      <c r="AD105" t="s">
        <v>74</v>
      </c>
      <c r="AE105" t="s">
        <v>74</v>
      </c>
      <c r="AF105" t="s">
        <v>74</v>
      </c>
      <c r="AG105">
        <v>19</v>
      </c>
      <c r="AH105">
        <v>6</v>
      </c>
      <c r="AI105">
        <v>7</v>
      </c>
      <c r="AJ105">
        <v>0</v>
      </c>
      <c r="AK105">
        <v>4</v>
      </c>
      <c r="AL105" t="s">
        <v>1914</v>
      </c>
      <c r="AM105" t="s">
        <v>1915</v>
      </c>
      <c r="AN105" t="s">
        <v>1916</v>
      </c>
      <c r="AO105" t="s">
        <v>1917</v>
      </c>
      <c r="AP105" t="s">
        <v>1918</v>
      </c>
      <c r="AQ105" t="s">
        <v>74</v>
      </c>
      <c r="AR105" t="s">
        <v>1919</v>
      </c>
      <c r="AS105" t="s">
        <v>1920</v>
      </c>
      <c r="AT105" t="s">
        <v>95</v>
      </c>
      <c r="AU105">
        <v>2006</v>
      </c>
      <c r="AV105">
        <v>3</v>
      </c>
      <c r="AW105">
        <v>1</v>
      </c>
      <c r="AX105" t="s">
        <v>74</v>
      </c>
      <c r="AY105" t="s">
        <v>74</v>
      </c>
      <c r="AZ105" t="s">
        <v>74</v>
      </c>
      <c r="BA105" t="s">
        <v>74</v>
      </c>
      <c r="BB105">
        <v>54</v>
      </c>
      <c r="BC105">
        <v>58</v>
      </c>
      <c r="BD105" t="s">
        <v>74</v>
      </c>
      <c r="BE105" t="s">
        <v>1921</v>
      </c>
      <c r="BF105" t="str">
        <f>HYPERLINK("http://dx.doi.org/10.1109/LGRS.2005.856710","http://dx.doi.org/10.1109/LGRS.2005.856710")</f>
        <v>http://dx.doi.org/10.1109/LGRS.2005.856710</v>
      </c>
      <c r="BG105" t="s">
        <v>74</v>
      </c>
      <c r="BH105" t="s">
        <v>74</v>
      </c>
      <c r="BI105">
        <v>5</v>
      </c>
      <c r="BJ105" t="s">
        <v>1922</v>
      </c>
      <c r="BK105" t="s">
        <v>98</v>
      </c>
      <c r="BL105" t="s">
        <v>1923</v>
      </c>
      <c r="BM105" t="s">
        <v>1924</v>
      </c>
      <c r="BN105" t="s">
        <v>74</v>
      </c>
      <c r="BO105" t="s">
        <v>1925</v>
      </c>
      <c r="BP105" t="s">
        <v>74</v>
      </c>
      <c r="BQ105" t="s">
        <v>74</v>
      </c>
      <c r="BR105" t="s">
        <v>101</v>
      </c>
      <c r="BS105" t="s">
        <v>1926</v>
      </c>
      <c r="BT105" t="str">
        <f>HYPERLINK("https%3A%2F%2Fwww.webofscience.com%2Fwos%2Fwoscc%2Ffull-record%2FWOS:000234898700012","View Full Record in Web of Science")</f>
        <v>View Full Record in Web of Science</v>
      </c>
    </row>
    <row r="106" spans="1:72" x14ac:dyDescent="0.15">
      <c r="A106" t="s">
        <v>72</v>
      </c>
      <c r="B106" t="s">
        <v>1927</v>
      </c>
      <c r="C106" t="s">
        <v>74</v>
      </c>
      <c r="D106" t="s">
        <v>74</v>
      </c>
      <c r="E106" t="s">
        <v>74</v>
      </c>
      <c r="F106" t="s">
        <v>1928</v>
      </c>
      <c r="G106" t="s">
        <v>74</v>
      </c>
      <c r="H106" t="s">
        <v>74</v>
      </c>
      <c r="I106" t="s">
        <v>1929</v>
      </c>
      <c r="J106" t="s">
        <v>1930</v>
      </c>
      <c r="K106" t="s">
        <v>74</v>
      </c>
      <c r="L106" t="s">
        <v>74</v>
      </c>
      <c r="M106" t="s">
        <v>77</v>
      </c>
      <c r="N106" t="s">
        <v>78</v>
      </c>
      <c r="O106" t="s">
        <v>74</v>
      </c>
      <c r="P106" t="s">
        <v>74</v>
      </c>
      <c r="Q106" t="s">
        <v>74</v>
      </c>
      <c r="R106" t="s">
        <v>74</v>
      </c>
      <c r="S106" t="s">
        <v>74</v>
      </c>
      <c r="T106" t="s">
        <v>1931</v>
      </c>
      <c r="U106" t="s">
        <v>1932</v>
      </c>
      <c r="V106" t="s">
        <v>1933</v>
      </c>
      <c r="W106" t="s">
        <v>1934</v>
      </c>
      <c r="X106" t="s">
        <v>1935</v>
      </c>
      <c r="Y106" t="s">
        <v>1936</v>
      </c>
      <c r="Z106" t="s">
        <v>1937</v>
      </c>
      <c r="AA106" t="s">
        <v>1938</v>
      </c>
      <c r="AB106" t="s">
        <v>1939</v>
      </c>
      <c r="AC106" t="s">
        <v>74</v>
      </c>
      <c r="AD106" t="s">
        <v>74</v>
      </c>
      <c r="AE106" t="s">
        <v>74</v>
      </c>
      <c r="AF106" t="s">
        <v>74</v>
      </c>
      <c r="AG106">
        <v>18</v>
      </c>
      <c r="AH106">
        <v>18</v>
      </c>
      <c r="AI106">
        <v>21</v>
      </c>
      <c r="AJ106">
        <v>0</v>
      </c>
      <c r="AK106">
        <v>18</v>
      </c>
      <c r="AL106" t="s">
        <v>1914</v>
      </c>
      <c r="AM106" t="s">
        <v>1915</v>
      </c>
      <c r="AN106" t="s">
        <v>1916</v>
      </c>
      <c r="AO106" t="s">
        <v>1940</v>
      </c>
      <c r="AP106" t="s">
        <v>1941</v>
      </c>
      <c r="AQ106" t="s">
        <v>74</v>
      </c>
      <c r="AR106" t="s">
        <v>1942</v>
      </c>
      <c r="AS106" t="s">
        <v>1943</v>
      </c>
      <c r="AT106" t="s">
        <v>95</v>
      </c>
      <c r="AU106">
        <v>2006</v>
      </c>
      <c r="AV106">
        <v>31</v>
      </c>
      <c r="AW106">
        <v>1</v>
      </c>
      <c r="AX106" t="s">
        <v>74</v>
      </c>
      <c r="AY106" t="s">
        <v>74</v>
      </c>
      <c r="AZ106" t="s">
        <v>74</v>
      </c>
      <c r="BA106" t="s">
        <v>74</v>
      </c>
      <c r="BB106">
        <v>82</v>
      </c>
      <c r="BC106">
        <v>86</v>
      </c>
      <c r="BD106" t="s">
        <v>74</v>
      </c>
      <c r="BE106" t="s">
        <v>1944</v>
      </c>
      <c r="BF106" t="str">
        <f>HYPERLINK("http://dx.doi.org/10.1109/JOE.2006.872210","http://dx.doi.org/10.1109/JOE.2006.872210")</f>
        <v>http://dx.doi.org/10.1109/JOE.2006.872210</v>
      </c>
      <c r="BG106" t="s">
        <v>74</v>
      </c>
      <c r="BH106" t="s">
        <v>74</v>
      </c>
      <c r="BI106">
        <v>5</v>
      </c>
      <c r="BJ106" t="s">
        <v>1945</v>
      </c>
      <c r="BK106" t="s">
        <v>98</v>
      </c>
      <c r="BL106" t="s">
        <v>1946</v>
      </c>
      <c r="BM106" t="s">
        <v>1947</v>
      </c>
      <c r="BN106" t="s">
        <v>74</v>
      </c>
      <c r="BO106" t="s">
        <v>1468</v>
      </c>
      <c r="BP106" t="s">
        <v>74</v>
      </c>
      <c r="BQ106" t="s">
        <v>74</v>
      </c>
      <c r="BR106" t="s">
        <v>101</v>
      </c>
      <c r="BS106" t="s">
        <v>1948</v>
      </c>
      <c r="BT106" t="str">
        <f>HYPERLINK("https%3A%2F%2Fwww.webofscience.com%2Fwos%2Fwoscc%2Ffull-record%2FWOS:000238710400009","View Full Record in Web of Science")</f>
        <v>View Full Record in Web of Science</v>
      </c>
    </row>
    <row r="107" spans="1:72" x14ac:dyDescent="0.15">
      <c r="A107" t="s">
        <v>374</v>
      </c>
      <c r="B107" t="s">
        <v>1949</v>
      </c>
      <c r="C107" t="s">
        <v>74</v>
      </c>
      <c r="D107" t="s">
        <v>1950</v>
      </c>
      <c r="E107" t="s">
        <v>74</v>
      </c>
      <c r="F107" t="s">
        <v>1951</v>
      </c>
      <c r="G107" t="s">
        <v>74</v>
      </c>
      <c r="H107" t="s">
        <v>74</v>
      </c>
      <c r="I107" t="s">
        <v>1952</v>
      </c>
      <c r="J107" t="s">
        <v>1953</v>
      </c>
      <c r="K107" t="s">
        <v>74</v>
      </c>
      <c r="L107" t="s">
        <v>74</v>
      </c>
      <c r="M107" t="s">
        <v>77</v>
      </c>
      <c r="N107" t="s">
        <v>381</v>
      </c>
      <c r="O107" t="s">
        <v>74</v>
      </c>
      <c r="P107" t="s">
        <v>74</v>
      </c>
      <c r="Q107" t="s">
        <v>74</v>
      </c>
      <c r="R107" t="s">
        <v>74</v>
      </c>
      <c r="S107" t="s">
        <v>74</v>
      </c>
      <c r="T107" t="s">
        <v>74</v>
      </c>
      <c r="U107" t="s">
        <v>1954</v>
      </c>
      <c r="V107" t="s">
        <v>74</v>
      </c>
      <c r="W107" t="s">
        <v>1955</v>
      </c>
      <c r="X107" t="s">
        <v>1956</v>
      </c>
      <c r="Y107" t="s">
        <v>1957</v>
      </c>
      <c r="Z107" t="s">
        <v>74</v>
      </c>
      <c r="AA107" t="s">
        <v>1958</v>
      </c>
      <c r="AB107" t="s">
        <v>1959</v>
      </c>
      <c r="AC107" t="s">
        <v>74</v>
      </c>
      <c r="AD107" t="s">
        <v>74</v>
      </c>
      <c r="AE107" t="s">
        <v>74</v>
      </c>
      <c r="AF107" t="s">
        <v>74</v>
      </c>
      <c r="AG107">
        <v>51</v>
      </c>
      <c r="AH107">
        <v>11</v>
      </c>
      <c r="AI107">
        <v>11</v>
      </c>
      <c r="AJ107">
        <v>0</v>
      </c>
      <c r="AK107">
        <v>0</v>
      </c>
      <c r="AL107" t="s">
        <v>386</v>
      </c>
      <c r="AM107" t="s">
        <v>387</v>
      </c>
      <c r="AN107" t="s">
        <v>388</v>
      </c>
      <c r="AO107" t="s">
        <v>74</v>
      </c>
      <c r="AP107" t="s">
        <v>74</v>
      </c>
      <c r="AQ107" t="s">
        <v>1960</v>
      </c>
      <c r="AR107" t="s">
        <v>74</v>
      </c>
      <c r="AS107" t="s">
        <v>74</v>
      </c>
      <c r="AT107" t="s">
        <v>74</v>
      </c>
      <c r="AU107">
        <v>2006</v>
      </c>
      <c r="AV107" t="s">
        <v>74</v>
      </c>
      <c r="AW107" t="s">
        <v>74</v>
      </c>
      <c r="AX107" t="s">
        <v>74</v>
      </c>
      <c r="AY107" t="s">
        <v>74</v>
      </c>
      <c r="AZ107" t="s">
        <v>74</v>
      </c>
      <c r="BA107" t="s">
        <v>74</v>
      </c>
      <c r="BB107">
        <v>245</v>
      </c>
      <c r="BC107">
        <v>269</v>
      </c>
      <c r="BD107" t="s">
        <v>74</v>
      </c>
      <c r="BE107" t="s">
        <v>74</v>
      </c>
      <c r="BF107" t="s">
        <v>74</v>
      </c>
      <c r="BG107" t="s">
        <v>74</v>
      </c>
      <c r="BH107" t="s">
        <v>74</v>
      </c>
      <c r="BI107">
        <v>25</v>
      </c>
      <c r="BJ107" t="s">
        <v>1961</v>
      </c>
      <c r="BK107" t="s">
        <v>554</v>
      </c>
      <c r="BL107" t="s">
        <v>1155</v>
      </c>
      <c r="BM107" t="s">
        <v>1962</v>
      </c>
      <c r="BN107" t="s">
        <v>74</v>
      </c>
      <c r="BO107" t="s">
        <v>74</v>
      </c>
      <c r="BP107" t="s">
        <v>74</v>
      </c>
      <c r="BQ107" t="s">
        <v>74</v>
      </c>
      <c r="BR107" t="s">
        <v>101</v>
      </c>
      <c r="BS107" t="s">
        <v>1963</v>
      </c>
      <c r="BT107" t="str">
        <f>HYPERLINK("https%3A%2F%2Fwww.webofscience.com%2Fwos%2Fwoscc%2Ffull-record%2FWOS:000283860800013","View Full Record in Web of Science")</f>
        <v>View Full Record in Web of Science</v>
      </c>
    </row>
    <row r="108" spans="1:72" x14ac:dyDescent="0.15">
      <c r="A108" t="s">
        <v>297</v>
      </c>
      <c r="B108" t="s">
        <v>1964</v>
      </c>
      <c r="C108" t="s">
        <v>74</v>
      </c>
      <c r="D108" t="s">
        <v>1965</v>
      </c>
      <c r="E108" t="s">
        <v>74</v>
      </c>
      <c r="F108" t="s">
        <v>1966</v>
      </c>
      <c r="G108" t="s">
        <v>74</v>
      </c>
      <c r="H108" t="s">
        <v>74</v>
      </c>
      <c r="I108" t="s">
        <v>1967</v>
      </c>
      <c r="J108" t="s">
        <v>1968</v>
      </c>
      <c r="K108" t="s">
        <v>1969</v>
      </c>
      <c r="L108" t="s">
        <v>74</v>
      </c>
      <c r="M108" t="s">
        <v>77</v>
      </c>
      <c r="N108" t="s">
        <v>304</v>
      </c>
      <c r="O108" t="s">
        <v>1970</v>
      </c>
      <c r="P108" t="s">
        <v>1971</v>
      </c>
      <c r="Q108" t="s">
        <v>1972</v>
      </c>
      <c r="R108" t="s">
        <v>74</v>
      </c>
      <c r="S108" t="s">
        <v>74</v>
      </c>
      <c r="T108" t="s">
        <v>1973</v>
      </c>
      <c r="U108" t="s">
        <v>1974</v>
      </c>
      <c r="V108" t="s">
        <v>74</v>
      </c>
      <c r="W108" t="s">
        <v>1975</v>
      </c>
      <c r="X108" t="s">
        <v>1976</v>
      </c>
      <c r="Y108" t="s">
        <v>1977</v>
      </c>
      <c r="Z108" t="s">
        <v>1978</v>
      </c>
      <c r="AA108" t="s">
        <v>74</v>
      </c>
      <c r="AB108" t="s">
        <v>74</v>
      </c>
      <c r="AC108" t="s">
        <v>74</v>
      </c>
      <c r="AD108" t="s">
        <v>74</v>
      </c>
      <c r="AE108" t="s">
        <v>74</v>
      </c>
      <c r="AF108" t="s">
        <v>74</v>
      </c>
      <c r="AG108">
        <v>20</v>
      </c>
      <c r="AH108">
        <v>0</v>
      </c>
      <c r="AI108">
        <v>0</v>
      </c>
      <c r="AJ108">
        <v>1</v>
      </c>
      <c r="AK108">
        <v>2</v>
      </c>
      <c r="AL108" t="s">
        <v>1979</v>
      </c>
      <c r="AM108" t="s">
        <v>1980</v>
      </c>
      <c r="AN108" t="s">
        <v>1981</v>
      </c>
      <c r="AO108" t="s">
        <v>1982</v>
      </c>
      <c r="AP108" t="s">
        <v>74</v>
      </c>
      <c r="AQ108" t="s">
        <v>1983</v>
      </c>
      <c r="AR108" t="s">
        <v>1984</v>
      </c>
      <c r="AS108" t="s">
        <v>1985</v>
      </c>
      <c r="AT108" t="s">
        <v>74</v>
      </c>
      <c r="AU108">
        <v>2006</v>
      </c>
      <c r="AV108">
        <v>29</v>
      </c>
      <c r="AW108" t="s">
        <v>74</v>
      </c>
      <c r="AX108">
        <v>3</v>
      </c>
      <c r="AY108" t="s">
        <v>74</v>
      </c>
      <c r="AZ108" t="s">
        <v>74</v>
      </c>
      <c r="BA108" t="s">
        <v>74</v>
      </c>
      <c r="BB108">
        <v>1539</v>
      </c>
      <c r="BC108">
        <v>1542</v>
      </c>
      <c r="BD108" t="s">
        <v>74</v>
      </c>
      <c r="BE108" t="s">
        <v>74</v>
      </c>
      <c r="BF108" t="s">
        <v>74</v>
      </c>
      <c r="BG108" t="s">
        <v>74</v>
      </c>
      <c r="BH108" t="s">
        <v>74</v>
      </c>
      <c r="BI108">
        <v>4</v>
      </c>
      <c r="BJ108" t="s">
        <v>1986</v>
      </c>
      <c r="BK108" t="s">
        <v>328</v>
      </c>
      <c r="BL108" t="s">
        <v>206</v>
      </c>
      <c r="BM108" t="s">
        <v>1987</v>
      </c>
      <c r="BN108" t="s">
        <v>74</v>
      </c>
      <c r="BO108" t="s">
        <v>74</v>
      </c>
      <c r="BP108" t="s">
        <v>74</v>
      </c>
      <c r="BQ108" t="s">
        <v>74</v>
      </c>
      <c r="BR108" t="s">
        <v>101</v>
      </c>
      <c r="BS108" t="s">
        <v>1988</v>
      </c>
      <c r="BT108" t="str">
        <f>HYPERLINK("https%3A%2F%2Fwww.webofscience.com%2Fwos%2Fwoscc%2Ffull-record%2FWOS:000239005000080","View Full Record in Web of Science")</f>
        <v>View Full Record in Web of Science</v>
      </c>
    </row>
    <row r="109" spans="1:72" x14ac:dyDescent="0.15">
      <c r="A109" t="s">
        <v>297</v>
      </c>
      <c r="B109" t="s">
        <v>1989</v>
      </c>
      <c r="C109" t="s">
        <v>74</v>
      </c>
      <c r="D109" t="s">
        <v>1990</v>
      </c>
      <c r="E109" t="s">
        <v>74</v>
      </c>
      <c r="F109" t="s">
        <v>1991</v>
      </c>
      <c r="G109" t="s">
        <v>74</v>
      </c>
      <c r="H109" t="s">
        <v>74</v>
      </c>
      <c r="I109" t="s">
        <v>1992</v>
      </c>
      <c r="J109" t="s">
        <v>1993</v>
      </c>
      <c r="K109" t="s">
        <v>303</v>
      </c>
      <c r="L109" t="s">
        <v>74</v>
      </c>
      <c r="M109" t="s">
        <v>77</v>
      </c>
      <c r="N109" t="s">
        <v>304</v>
      </c>
      <c r="O109" t="s">
        <v>1994</v>
      </c>
      <c r="P109" t="s">
        <v>1995</v>
      </c>
      <c r="Q109" t="s">
        <v>1996</v>
      </c>
      <c r="R109" t="s">
        <v>74</v>
      </c>
      <c r="S109" t="s">
        <v>74</v>
      </c>
      <c r="T109" t="s">
        <v>1997</v>
      </c>
      <c r="U109" t="s">
        <v>1998</v>
      </c>
      <c r="V109" t="s">
        <v>1999</v>
      </c>
      <c r="W109" t="s">
        <v>2000</v>
      </c>
      <c r="X109" t="s">
        <v>2001</v>
      </c>
      <c r="Y109" t="s">
        <v>2002</v>
      </c>
      <c r="Z109" t="s">
        <v>74</v>
      </c>
      <c r="AA109" t="s">
        <v>2003</v>
      </c>
      <c r="AB109" t="s">
        <v>2004</v>
      </c>
      <c r="AC109" t="s">
        <v>2005</v>
      </c>
      <c r="AD109" t="s">
        <v>2006</v>
      </c>
      <c r="AE109" t="s">
        <v>2007</v>
      </c>
      <c r="AF109" t="s">
        <v>74</v>
      </c>
      <c r="AG109">
        <v>18</v>
      </c>
      <c r="AH109">
        <v>1</v>
      </c>
      <c r="AI109">
        <v>1</v>
      </c>
      <c r="AJ109">
        <v>0</v>
      </c>
      <c r="AK109">
        <v>3</v>
      </c>
      <c r="AL109" t="s">
        <v>318</v>
      </c>
      <c r="AM109" t="s">
        <v>319</v>
      </c>
      <c r="AN109" t="s">
        <v>320</v>
      </c>
      <c r="AO109" t="s">
        <v>321</v>
      </c>
      <c r="AP109" t="s">
        <v>322</v>
      </c>
      <c r="AQ109" t="s">
        <v>2008</v>
      </c>
      <c r="AR109" t="s">
        <v>324</v>
      </c>
      <c r="AS109" t="s">
        <v>74</v>
      </c>
      <c r="AT109" t="s">
        <v>74</v>
      </c>
      <c r="AU109">
        <v>2006</v>
      </c>
      <c r="AV109">
        <v>6284</v>
      </c>
      <c r="AW109" t="s">
        <v>74</v>
      </c>
      <c r="AX109" t="s">
        <v>74</v>
      </c>
      <c r="AY109" t="s">
        <v>74</v>
      </c>
      <c r="AZ109" t="s">
        <v>74</v>
      </c>
      <c r="BA109" t="s">
        <v>74</v>
      </c>
      <c r="BB109" t="s">
        <v>74</v>
      </c>
      <c r="BC109" t="s">
        <v>74</v>
      </c>
      <c r="BD109">
        <v>628402</v>
      </c>
      <c r="BE109" t="s">
        <v>2009</v>
      </c>
      <c r="BF109" t="str">
        <f>HYPERLINK("http://dx.doi.org/10.1117/12.714151","http://dx.doi.org/10.1117/12.714151")</f>
        <v>http://dx.doi.org/10.1117/12.714151</v>
      </c>
      <c r="BG109" t="s">
        <v>74</v>
      </c>
      <c r="BH109" t="s">
        <v>74</v>
      </c>
      <c r="BI109">
        <v>10</v>
      </c>
      <c r="BJ109" t="s">
        <v>2010</v>
      </c>
      <c r="BK109" t="s">
        <v>328</v>
      </c>
      <c r="BL109" t="s">
        <v>2011</v>
      </c>
      <c r="BM109" t="s">
        <v>2012</v>
      </c>
      <c r="BN109" t="s">
        <v>74</v>
      </c>
      <c r="BO109" t="s">
        <v>74</v>
      </c>
      <c r="BP109" t="s">
        <v>74</v>
      </c>
      <c r="BQ109" t="s">
        <v>74</v>
      </c>
      <c r="BR109" t="s">
        <v>101</v>
      </c>
      <c r="BS109" t="s">
        <v>2013</v>
      </c>
      <c r="BT109" t="str">
        <f>HYPERLINK("https%3A%2F%2Fwww.webofscience.com%2Fwos%2Fwoscc%2Ffull-record%2FWOS:000241947000002","View Full Record in Web of Science")</f>
        <v>View Full Record in Web of Science</v>
      </c>
    </row>
    <row r="110" spans="1:72" x14ac:dyDescent="0.15">
      <c r="A110" t="s">
        <v>72</v>
      </c>
      <c r="B110" t="s">
        <v>2014</v>
      </c>
      <c r="C110" t="s">
        <v>74</v>
      </c>
      <c r="D110" t="s">
        <v>74</v>
      </c>
      <c r="E110" t="s">
        <v>74</v>
      </c>
      <c r="F110" t="s">
        <v>2014</v>
      </c>
      <c r="G110" t="s">
        <v>74</v>
      </c>
      <c r="H110" t="s">
        <v>74</v>
      </c>
      <c r="I110" t="s">
        <v>2015</v>
      </c>
      <c r="J110" t="s">
        <v>2016</v>
      </c>
      <c r="K110" t="s">
        <v>74</v>
      </c>
      <c r="L110" t="s">
        <v>74</v>
      </c>
      <c r="M110" t="s">
        <v>77</v>
      </c>
      <c r="N110" t="s">
        <v>78</v>
      </c>
      <c r="O110" t="s">
        <v>74</v>
      </c>
      <c r="P110" t="s">
        <v>74</v>
      </c>
      <c r="Q110" t="s">
        <v>74</v>
      </c>
      <c r="R110" t="s">
        <v>74</v>
      </c>
      <c r="S110" t="s">
        <v>74</v>
      </c>
      <c r="T110" t="s">
        <v>2017</v>
      </c>
      <c r="U110" t="s">
        <v>2018</v>
      </c>
      <c r="V110" t="s">
        <v>2019</v>
      </c>
      <c r="W110" t="s">
        <v>2020</v>
      </c>
      <c r="X110" t="s">
        <v>788</v>
      </c>
      <c r="Y110" t="s">
        <v>2021</v>
      </c>
      <c r="Z110" t="s">
        <v>2022</v>
      </c>
      <c r="AA110" t="s">
        <v>74</v>
      </c>
      <c r="AB110" t="s">
        <v>2023</v>
      </c>
      <c r="AC110" t="s">
        <v>2024</v>
      </c>
      <c r="AD110" t="s">
        <v>735</v>
      </c>
      <c r="AE110" t="s">
        <v>74</v>
      </c>
      <c r="AF110" t="s">
        <v>74</v>
      </c>
      <c r="AG110">
        <v>41</v>
      </c>
      <c r="AH110">
        <v>22</v>
      </c>
      <c r="AI110">
        <v>23</v>
      </c>
      <c r="AJ110">
        <v>0</v>
      </c>
      <c r="AK110">
        <v>7</v>
      </c>
      <c r="AL110" t="s">
        <v>2025</v>
      </c>
      <c r="AM110" t="s">
        <v>2026</v>
      </c>
      <c r="AN110" t="s">
        <v>2027</v>
      </c>
      <c r="AO110" t="s">
        <v>2028</v>
      </c>
      <c r="AP110" t="s">
        <v>2029</v>
      </c>
      <c r="AQ110" t="s">
        <v>74</v>
      </c>
      <c r="AR110" t="s">
        <v>2030</v>
      </c>
      <c r="AS110" t="s">
        <v>2031</v>
      </c>
      <c r="AT110" t="s">
        <v>95</v>
      </c>
      <c r="AU110">
        <v>2006</v>
      </c>
      <c r="AV110">
        <v>26</v>
      </c>
      <c r="AW110">
        <v>1</v>
      </c>
      <c r="AX110" t="s">
        <v>74</v>
      </c>
      <c r="AY110" t="s">
        <v>74</v>
      </c>
      <c r="AZ110" t="s">
        <v>74</v>
      </c>
      <c r="BA110" t="s">
        <v>74</v>
      </c>
      <c r="BB110">
        <v>91</v>
      </c>
      <c r="BC110">
        <v>112</v>
      </c>
      <c r="BD110" t="s">
        <v>74</v>
      </c>
      <c r="BE110" t="s">
        <v>2032</v>
      </c>
      <c r="BF110" t="str">
        <f>HYPERLINK("http://dx.doi.org/10.1002/joc.1260","http://dx.doi.org/10.1002/joc.1260")</f>
        <v>http://dx.doi.org/10.1002/joc.1260</v>
      </c>
      <c r="BG110" t="s">
        <v>74</v>
      </c>
      <c r="BH110" t="s">
        <v>74</v>
      </c>
      <c r="BI110">
        <v>22</v>
      </c>
      <c r="BJ110" t="s">
        <v>2033</v>
      </c>
      <c r="BK110" t="s">
        <v>98</v>
      </c>
      <c r="BL110" t="s">
        <v>2033</v>
      </c>
      <c r="BM110" t="s">
        <v>2034</v>
      </c>
      <c r="BN110" t="s">
        <v>74</v>
      </c>
      <c r="BO110" t="s">
        <v>74</v>
      </c>
      <c r="BP110" t="s">
        <v>74</v>
      </c>
      <c r="BQ110" t="s">
        <v>74</v>
      </c>
      <c r="BR110" t="s">
        <v>101</v>
      </c>
      <c r="BS110" t="s">
        <v>2035</v>
      </c>
      <c r="BT110" t="str">
        <f>HYPERLINK("https%3A%2F%2Fwww.webofscience.com%2Fwos%2Fwoscc%2Ffull-record%2FWOS:000235101500007","View Full Record in Web of Science")</f>
        <v>View Full Record in Web of Science</v>
      </c>
    </row>
    <row r="111" spans="1:72" x14ac:dyDescent="0.15">
      <c r="A111" t="s">
        <v>72</v>
      </c>
      <c r="B111" t="s">
        <v>2036</v>
      </c>
      <c r="C111" t="s">
        <v>74</v>
      </c>
      <c r="D111" t="s">
        <v>74</v>
      </c>
      <c r="E111" t="s">
        <v>74</v>
      </c>
      <c r="F111" t="s">
        <v>2036</v>
      </c>
      <c r="G111" t="s">
        <v>74</v>
      </c>
      <c r="H111" t="s">
        <v>74</v>
      </c>
      <c r="I111" t="s">
        <v>2037</v>
      </c>
      <c r="J111" t="s">
        <v>2038</v>
      </c>
      <c r="K111" t="s">
        <v>74</v>
      </c>
      <c r="L111" t="s">
        <v>74</v>
      </c>
      <c r="M111" t="s">
        <v>77</v>
      </c>
      <c r="N111" t="s">
        <v>78</v>
      </c>
      <c r="O111" t="s">
        <v>74</v>
      </c>
      <c r="P111" t="s">
        <v>74</v>
      </c>
      <c r="Q111" t="s">
        <v>74</v>
      </c>
      <c r="R111" t="s">
        <v>74</v>
      </c>
      <c r="S111" t="s">
        <v>74</v>
      </c>
      <c r="T111" t="s">
        <v>74</v>
      </c>
      <c r="U111" t="s">
        <v>2039</v>
      </c>
      <c r="V111" t="s">
        <v>2040</v>
      </c>
      <c r="W111" t="s">
        <v>2041</v>
      </c>
      <c r="X111" t="s">
        <v>2042</v>
      </c>
      <c r="Y111" t="s">
        <v>2043</v>
      </c>
      <c r="Z111" t="s">
        <v>2044</v>
      </c>
      <c r="AA111" t="s">
        <v>2045</v>
      </c>
      <c r="AB111" t="s">
        <v>2046</v>
      </c>
      <c r="AC111" t="s">
        <v>74</v>
      </c>
      <c r="AD111" t="s">
        <v>74</v>
      </c>
      <c r="AE111" t="s">
        <v>74</v>
      </c>
      <c r="AF111" t="s">
        <v>74</v>
      </c>
      <c r="AG111">
        <v>62</v>
      </c>
      <c r="AH111">
        <v>66</v>
      </c>
      <c r="AI111">
        <v>70</v>
      </c>
      <c r="AJ111">
        <v>0</v>
      </c>
      <c r="AK111">
        <v>10</v>
      </c>
      <c r="AL111" t="s">
        <v>2047</v>
      </c>
      <c r="AM111" t="s">
        <v>1055</v>
      </c>
      <c r="AN111" t="s">
        <v>2048</v>
      </c>
      <c r="AO111" t="s">
        <v>2049</v>
      </c>
      <c r="AP111" t="s">
        <v>2050</v>
      </c>
      <c r="AQ111" t="s">
        <v>74</v>
      </c>
      <c r="AR111" t="s">
        <v>2051</v>
      </c>
      <c r="AS111" t="s">
        <v>2052</v>
      </c>
      <c r="AT111" t="s">
        <v>95</v>
      </c>
      <c r="AU111">
        <v>2006</v>
      </c>
      <c r="AV111">
        <v>56</v>
      </c>
      <c r="AW111" t="s">
        <v>74</v>
      </c>
      <c r="AX111">
        <v>1</v>
      </c>
      <c r="AY111" t="s">
        <v>74</v>
      </c>
      <c r="AZ111" t="s">
        <v>74</v>
      </c>
      <c r="BA111" t="s">
        <v>74</v>
      </c>
      <c r="BB111">
        <v>169</v>
      </c>
      <c r="BC111">
        <v>180</v>
      </c>
      <c r="BD111" t="s">
        <v>74</v>
      </c>
      <c r="BE111" t="s">
        <v>2053</v>
      </c>
      <c r="BF111" t="str">
        <f>HYPERLINK("http://dx.doi.org/10.1099/ijs.0.63941-0","http://dx.doi.org/10.1099/ijs.0.63941-0")</f>
        <v>http://dx.doi.org/10.1099/ijs.0.63941-0</v>
      </c>
      <c r="BG111" t="s">
        <v>74</v>
      </c>
      <c r="BH111" t="s">
        <v>74</v>
      </c>
      <c r="BI111">
        <v>12</v>
      </c>
      <c r="BJ111" t="s">
        <v>2054</v>
      </c>
      <c r="BK111" t="s">
        <v>98</v>
      </c>
      <c r="BL111" t="s">
        <v>2054</v>
      </c>
      <c r="BM111" t="s">
        <v>2055</v>
      </c>
      <c r="BN111">
        <v>16403883</v>
      </c>
      <c r="BO111" t="s">
        <v>1900</v>
      </c>
      <c r="BP111" t="s">
        <v>74</v>
      </c>
      <c r="BQ111" t="s">
        <v>74</v>
      </c>
      <c r="BR111" t="s">
        <v>101</v>
      </c>
      <c r="BS111" t="s">
        <v>2056</v>
      </c>
      <c r="BT111" t="str">
        <f>HYPERLINK("https%3A%2F%2Fwww.webofscience.com%2Fwos%2Fwoscc%2Ffull-record%2FWOS:000234811200026","View Full Record in Web of Science")</f>
        <v>View Full Record in Web of Science</v>
      </c>
    </row>
    <row r="112" spans="1:72" x14ac:dyDescent="0.15">
      <c r="A112" t="s">
        <v>72</v>
      </c>
      <c r="B112" t="s">
        <v>2057</v>
      </c>
      <c r="C112" t="s">
        <v>74</v>
      </c>
      <c r="D112" t="s">
        <v>74</v>
      </c>
      <c r="E112" t="s">
        <v>74</v>
      </c>
      <c r="F112" t="s">
        <v>2058</v>
      </c>
      <c r="G112" t="s">
        <v>74</v>
      </c>
      <c r="H112" t="s">
        <v>74</v>
      </c>
      <c r="I112" t="s">
        <v>2059</v>
      </c>
      <c r="J112" t="s">
        <v>2060</v>
      </c>
      <c r="K112" t="s">
        <v>74</v>
      </c>
      <c r="L112" t="s">
        <v>74</v>
      </c>
      <c r="M112" t="s">
        <v>77</v>
      </c>
      <c r="N112" t="s">
        <v>78</v>
      </c>
      <c r="O112" t="s">
        <v>74</v>
      </c>
      <c r="P112" t="s">
        <v>74</v>
      </c>
      <c r="Q112" t="s">
        <v>74</v>
      </c>
      <c r="R112" t="s">
        <v>74</v>
      </c>
      <c r="S112" t="s">
        <v>74</v>
      </c>
      <c r="T112" t="s">
        <v>2061</v>
      </c>
      <c r="U112" t="s">
        <v>2062</v>
      </c>
      <c r="V112" t="s">
        <v>2063</v>
      </c>
      <c r="W112" t="s">
        <v>2064</v>
      </c>
      <c r="X112" t="s">
        <v>2065</v>
      </c>
      <c r="Y112" t="s">
        <v>2066</v>
      </c>
      <c r="Z112" t="s">
        <v>2067</v>
      </c>
      <c r="AA112" t="s">
        <v>74</v>
      </c>
      <c r="AB112" t="s">
        <v>2068</v>
      </c>
      <c r="AC112" t="s">
        <v>74</v>
      </c>
      <c r="AD112" t="s">
        <v>74</v>
      </c>
      <c r="AE112" t="s">
        <v>74</v>
      </c>
      <c r="AF112" t="s">
        <v>74</v>
      </c>
      <c r="AG112">
        <v>73</v>
      </c>
      <c r="AH112">
        <v>6</v>
      </c>
      <c r="AI112">
        <v>8</v>
      </c>
      <c r="AJ112">
        <v>2</v>
      </c>
      <c r="AK112">
        <v>24</v>
      </c>
      <c r="AL112" t="s">
        <v>2025</v>
      </c>
      <c r="AM112" t="s">
        <v>2026</v>
      </c>
      <c r="AN112" t="s">
        <v>2027</v>
      </c>
      <c r="AO112" t="s">
        <v>2069</v>
      </c>
      <c r="AP112" t="s">
        <v>2070</v>
      </c>
      <c r="AQ112" t="s">
        <v>74</v>
      </c>
      <c r="AR112" t="s">
        <v>2071</v>
      </c>
      <c r="AS112" t="s">
        <v>2072</v>
      </c>
      <c r="AT112" t="s">
        <v>74</v>
      </c>
      <c r="AU112">
        <v>2006</v>
      </c>
      <c r="AV112">
        <v>91</v>
      </c>
      <c r="AW112">
        <v>5</v>
      </c>
      <c r="AX112" t="s">
        <v>74</v>
      </c>
      <c r="AY112" t="s">
        <v>74</v>
      </c>
      <c r="AZ112" t="s">
        <v>74</v>
      </c>
      <c r="BA112" t="s">
        <v>74</v>
      </c>
      <c r="BB112">
        <v>451</v>
      </c>
      <c r="BC112">
        <v>465</v>
      </c>
      <c r="BD112" t="s">
        <v>74</v>
      </c>
      <c r="BE112" t="s">
        <v>2073</v>
      </c>
      <c r="BF112" t="str">
        <f>HYPERLINK("http://dx.doi.org/10.1002/iroh.200510843","http://dx.doi.org/10.1002/iroh.200510843")</f>
        <v>http://dx.doi.org/10.1002/iroh.200510843</v>
      </c>
      <c r="BG112" t="s">
        <v>74</v>
      </c>
      <c r="BH112" t="s">
        <v>74</v>
      </c>
      <c r="BI112">
        <v>15</v>
      </c>
      <c r="BJ112" t="s">
        <v>206</v>
      </c>
      <c r="BK112" t="s">
        <v>98</v>
      </c>
      <c r="BL112" t="s">
        <v>206</v>
      </c>
      <c r="BM112" t="s">
        <v>2074</v>
      </c>
      <c r="BN112" t="s">
        <v>74</v>
      </c>
      <c r="BO112" t="s">
        <v>74</v>
      </c>
      <c r="BP112" t="s">
        <v>74</v>
      </c>
      <c r="BQ112" t="s">
        <v>74</v>
      </c>
      <c r="BR112" t="s">
        <v>101</v>
      </c>
      <c r="BS112" t="s">
        <v>2075</v>
      </c>
      <c r="BT112" t="str">
        <f>HYPERLINK("https%3A%2F%2Fwww.webofscience.com%2Fwos%2Fwoscc%2Ffull-record%2FWOS:000241921800005","View Full Record in Web of Science")</f>
        <v>View Full Record in Web of Science</v>
      </c>
    </row>
    <row r="113" spans="1:72" x14ac:dyDescent="0.15">
      <c r="A113" t="s">
        <v>577</v>
      </c>
      <c r="B113" t="s">
        <v>2076</v>
      </c>
      <c r="C113" t="s">
        <v>74</v>
      </c>
      <c r="D113" t="s">
        <v>2077</v>
      </c>
      <c r="E113" t="s">
        <v>74</v>
      </c>
      <c r="F113" t="s">
        <v>2076</v>
      </c>
      <c r="G113" t="s">
        <v>74</v>
      </c>
      <c r="H113" t="s">
        <v>74</v>
      </c>
      <c r="I113" t="s">
        <v>2078</v>
      </c>
      <c r="J113" t="s">
        <v>2079</v>
      </c>
      <c r="K113" t="s">
        <v>2080</v>
      </c>
      <c r="L113" t="s">
        <v>74</v>
      </c>
      <c r="M113" t="s">
        <v>77</v>
      </c>
      <c r="N113" t="s">
        <v>335</v>
      </c>
      <c r="O113" t="s">
        <v>2081</v>
      </c>
      <c r="P113" t="s">
        <v>2082</v>
      </c>
      <c r="Q113" t="s">
        <v>2083</v>
      </c>
      <c r="R113" t="s">
        <v>74</v>
      </c>
      <c r="S113" t="s">
        <v>74</v>
      </c>
      <c r="T113" t="s">
        <v>2084</v>
      </c>
      <c r="U113" t="s">
        <v>2085</v>
      </c>
      <c r="V113" t="s">
        <v>2086</v>
      </c>
      <c r="W113" t="s">
        <v>2087</v>
      </c>
      <c r="X113" t="s">
        <v>1259</v>
      </c>
      <c r="Y113" t="s">
        <v>2088</v>
      </c>
      <c r="Z113" t="s">
        <v>2089</v>
      </c>
      <c r="AA113" t="s">
        <v>2090</v>
      </c>
      <c r="AB113" t="s">
        <v>2091</v>
      </c>
      <c r="AC113" t="s">
        <v>74</v>
      </c>
      <c r="AD113" t="s">
        <v>74</v>
      </c>
      <c r="AE113" t="s">
        <v>74</v>
      </c>
      <c r="AF113" t="s">
        <v>74</v>
      </c>
      <c r="AG113">
        <v>18</v>
      </c>
      <c r="AH113">
        <v>8</v>
      </c>
      <c r="AI113">
        <v>10</v>
      </c>
      <c r="AJ113">
        <v>0</v>
      </c>
      <c r="AK113">
        <v>0</v>
      </c>
      <c r="AL113" t="s">
        <v>1147</v>
      </c>
      <c r="AM113" t="s">
        <v>1148</v>
      </c>
      <c r="AN113" t="s">
        <v>1607</v>
      </c>
      <c r="AO113" t="s">
        <v>2092</v>
      </c>
      <c r="AP113" t="s">
        <v>74</v>
      </c>
      <c r="AQ113" t="s">
        <v>74</v>
      </c>
      <c r="AR113" t="s">
        <v>2093</v>
      </c>
      <c r="AS113" t="s">
        <v>74</v>
      </c>
      <c r="AT113" t="s">
        <v>74</v>
      </c>
      <c r="AU113">
        <v>2006</v>
      </c>
      <c r="AV113">
        <v>57</v>
      </c>
      <c r="AW113">
        <v>1</v>
      </c>
      <c r="AX113" t="s">
        <v>74</v>
      </c>
      <c r="AY113" t="s">
        <v>74</v>
      </c>
      <c r="AZ113" t="s">
        <v>74</v>
      </c>
      <c r="BA113" t="s">
        <v>74</v>
      </c>
      <c r="BB113">
        <v>273</v>
      </c>
      <c r="BC113">
        <v>282</v>
      </c>
      <c r="BD113" t="s">
        <v>74</v>
      </c>
      <c r="BE113" t="s">
        <v>2094</v>
      </c>
      <c r="BF113" t="str">
        <f>HYPERLINK("http://dx.doi.org/10.1016/j.ppnp.2006.01.006","http://dx.doi.org/10.1016/j.ppnp.2006.01.006")</f>
        <v>http://dx.doi.org/10.1016/j.ppnp.2006.01.006</v>
      </c>
      <c r="BG113" t="s">
        <v>74</v>
      </c>
      <c r="BH113" t="s">
        <v>74</v>
      </c>
      <c r="BI113">
        <v>10</v>
      </c>
      <c r="BJ113" t="s">
        <v>2095</v>
      </c>
      <c r="BK113" t="s">
        <v>356</v>
      </c>
      <c r="BL113" t="s">
        <v>1466</v>
      </c>
      <c r="BM113" t="s">
        <v>2096</v>
      </c>
      <c r="BN113" t="s">
        <v>74</v>
      </c>
      <c r="BO113" t="s">
        <v>74</v>
      </c>
      <c r="BP113" t="s">
        <v>74</v>
      </c>
      <c r="BQ113" t="s">
        <v>74</v>
      </c>
      <c r="BR113" t="s">
        <v>101</v>
      </c>
      <c r="BS113" t="s">
        <v>2097</v>
      </c>
      <c r="BT113" t="str">
        <f>HYPERLINK("https%3A%2F%2Fwww.webofscience.com%2Fwos%2Fwoscc%2Ffull-record%2FWOS:000238001000034","View Full Record in Web of Science")</f>
        <v>View Full Record in Web of Science</v>
      </c>
    </row>
    <row r="114" spans="1:72" x14ac:dyDescent="0.15">
      <c r="A114" t="s">
        <v>72</v>
      </c>
      <c r="B114" t="s">
        <v>2098</v>
      </c>
      <c r="C114" t="s">
        <v>74</v>
      </c>
      <c r="D114" t="s">
        <v>74</v>
      </c>
      <c r="E114" t="s">
        <v>74</v>
      </c>
      <c r="F114" t="s">
        <v>2099</v>
      </c>
      <c r="G114" t="s">
        <v>74</v>
      </c>
      <c r="H114" t="s">
        <v>74</v>
      </c>
      <c r="I114" t="s">
        <v>2100</v>
      </c>
      <c r="J114" t="s">
        <v>2101</v>
      </c>
      <c r="K114" t="s">
        <v>74</v>
      </c>
      <c r="L114" t="s">
        <v>74</v>
      </c>
      <c r="M114" t="s">
        <v>77</v>
      </c>
      <c r="N114" t="s">
        <v>78</v>
      </c>
      <c r="O114" t="s">
        <v>74</v>
      </c>
      <c r="P114" t="s">
        <v>74</v>
      </c>
      <c r="Q114" t="s">
        <v>74</v>
      </c>
      <c r="R114" t="s">
        <v>74</v>
      </c>
      <c r="S114" t="s">
        <v>74</v>
      </c>
      <c r="T114" t="s">
        <v>74</v>
      </c>
      <c r="U114" t="s">
        <v>2102</v>
      </c>
      <c r="V114" t="s">
        <v>2103</v>
      </c>
      <c r="W114" t="s">
        <v>2104</v>
      </c>
      <c r="X114" t="s">
        <v>2105</v>
      </c>
      <c r="Y114" t="s">
        <v>2106</v>
      </c>
      <c r="Z114" t="s">
        <v>2107</v>
      </c>
      <c r="AA114" t="s">
        <v>2108</v>
      </c>
      <c r="AB114" t="s">
        <v>2109</v>
      </c>
      <c r="AC114" t="s">
        <v>74</v>
      </c>
      <c r="AD114" t="s">
        <v>74</v>
      </c>
      <c r="AE114" t="s">
        <v>74</v>
      </c>
      <c r="AF114" t="s">
        <v>74</v>
      </c>
      <c r="AG114">
        <v>44</v>
      </c>
      <c r="AH114">
        <v>40</v>
      </c>
      <c r="AI114">
        <v>47</v>
      </c>
      <c r="AJ114">
        <v>3</v>
      </c>
      <c r="AK114">
        <v>37</v>
      </c>
      <c r="AL114" t="s">
        <v>2110</v>
      </c>
      <c r="AM114" t="s">
        <v>2111</v>
      </c>
      <c r="AN114" t="s">
        <v>2112</v>
      </c>
      <c r="AO114" t="s">
        <v>2113</v>
      </c>
      <c r="AP114" t="s">
        <v>74</v>
      </c>
      <c r="AQ114" t="s">
        <v>74</v>
      </c>
      <c r="AR114" t="s">
        <v>2114</v>
      </c>
      <c r="AS114" t="s">
        <v>2115</v>
      </c>
      <c r="AT114" t="s">
        <v>74</v>
      </c>
      <c r="AU114">
        <v>2006</v>
      </c>
      <c r="AV114">
        <v>21</v>
      </c>
      <c r="AW114">
        <v>11</v>
      </c>
      <c r="AX114" t="s">
        <v>74</v>
      </c>
      <c r="AY114" t="s">
        <v>74</v>
      </c>
      <c r="AZ114" t="s">
        <v>74</v>
      </c>
      <c r="BA114" t="s">
        <v>74</v>
      </c>
      <c r="BB114">
        <v>1214</v>
      </c>
      <c r="BC114">
        <v>1223</v>
      </c>
      <c r="BD114" t="s">
        <v>74</v>
      </c>
      <c r="BE114" t="s">
        <v>2116</v>
      </c>
      <c r="BF114" t="str">
        <f>HYPERLINK("http://dx.doi.org/10.1039/b607203h","http://dx.doi.org/10.1039/b607203h")</f>
        <v>http://dx.doi.org/10.1039/b607203h</v>
      </c>
      <c r="BG114" t="s">
        <v>74</v>
      </c>
      <c r="BH114" t="s">
        <v>74</v>
      </c>
      <c r="BI114">
        <v>10</v>
      </c>
      <c r="BJ114" t="s">
        <v>2117</v>
      </c>
      <c r="BK114" t="s">
        <v>98</v>
      </c>
      <c r="BL114" t="s">
        <v>2118</v>
      </c>
      <c r="BM114" t="s">
        <v>2119</v>
      </c>
      <c r="BN114" t="s">
        <v>74</v>
      </c>
      <c r="BO114" t="s">
        <v>74</v>
      </c>
      <c r="BP114" t="s">
        <v>74</v>
      </c>
      <c r="BQ114" t="s">
        <v>74</v>
      </c>
      <c r="BR114" t="s">
        <v>101</v>
      </c>
      <c r="BS114" t="s">
        <v>2120</v>
      </c>
      <c r="BT114" t="str">
        <f>HYPERLINK("https%3A%2F%2Fwww.webofscience.com%2Fwos%2Fwoscc%2Ffull-record%2FWOS:000241568200011","View Full Record in Web of Science")</f>
        <v>View Full Record in Web of Science</v>
      </c>
    </row>
    <row r="115" spans="1:72" x14ac:dyDescent="0.15">
      <c r="A115" t="s">
        <v>72</v>
      </c>
      <c r="B115" t="s">
        <v>2121</v>
      </c>
      <c r="C115" t="s">
        <v>74</v>
      </c>
      <c r="D115" t="s">
        <v>74</v>
      </c>
      <c r="E115" t="s">
        <v>74</v>
      </c>
      <c r="F115" t="s">
        <v>2121</v>
      </c>
      <c r="G115" t="s">
        <v>74</v>
      </c>
      <c r="H115" t="s">
        <v>74</v>
      </c>
      <c r="I115" t="s">
        <v>2122</v>
      </c>
      <c r="J115" t="s">
        <v>2123</v>
      </c>
      <c r="K115" t="s">
        <v>74</v>
      </c>
      <c r="L115" t="s">
        <v>74</v>
      </c>
      <c r="M115" t="s">
        <v>77</v>
      </c>
      <c r="N115" t="s">
        <v>335</v>
      </c>
      <c r="O115" t="s">
        <v>2124</v>
      </c>
      <c r="P115" t="s">
        <v>2125</v>
      </c>
      <c r="Q115" t="s">
        <v>2126</v>
      </c>
      <c r="R115" t="s">
        <v>74</v>
      </c>
      <c r="S115" t="s">
        <v>74</v>
      </c>
      <c r="T115" t="s">
        <v>2127</v>
      </c>
      <c r="U115" t="s">
        <v>2128</v>
      </c>
      <c r="V115" t="s">
        <v>2129</v>
      </c>
      <c r="W115" t="s">
        <v>2130</v>
      </c>
      <c r="X115" t="s">
        <v>2131</v>
      </c>
      <c r="Y115" t="s">
        <v>2132</v>
      </c>
      <c r="Z115" t="s">
        <v>2133</v>
      </c>
      <c r="AA115" t="s">
        <v>2134</v>
      </c>
      <c r="AB115" t="s">
        <v>2135</v>
      </c>
      <c r="AC115" t="s">
        <v>2136</v>
      </c>
      <c r="AD115" t="s">
        <v>735</v>
      </c>
      <c r="AE115" t="s">
        <v>74</v>
      </c>
      <c r="AF115" t="s">
        <v>74</v>
      </c>
      <c r="AG115">
        <v>29</v>
      </c>
      <c r="AH115">
        <v>11</v>
      </c>
      <c r="AI115">
        <v>14</v>
      </c>
      <c r="AJ115">
        <v>0</v>
      </c>
      <c r="AK115">
        <v>9</v>
      </c>
      <c r="AL115" t="s">
        <v>622</v>
      </c>
      <c r="AM115" t="s">
        <v>140</v>
      </c>
      <c r="AN115" t="s">
        <v>623</v>
      </c>
      <c r="AO115" t="s">
        <v>2137</v>
      </c>
      <c r="AP115" t="s">
        <v>2138</v>
      </c>
      <c r="AQ115" t="s">
        <v>74</v>
      </c>
      <c r="AR115" t="s">
        <v>2139</v>
      </c>
      <c r="AS115" t="s">
        <v>2140</v>
      </c>
      <c r="AT115" t="s">
        <v>95</v>
      </c>
      <c r="AU115">
        <v>2006</v>
      </c>
      <c r="AV115">
        <v>68</v>
      </c>
      <c r="AW115">
        <v>1</v>
      </c>
      <c r="AX115" t="s">
        <v>74</v>
      </c>
      <c r="AY115" t="s">
        <v>74</v>
      </c>
      <c r="AZ115" t="s">
        <v>74</v>
      </c>
      <c r="BA115" t="s">
        <v>74</v>
      </c>
      <c r="BB115">
        <v>102</v>
      </c>
      <c r="BC115">
        <v>113</v>
      </c>
      <c r="BD115" t="s">
        <v>74</v>
      </c>
      <c r="BE115" t="s">
        <v>2141</v>
      </c>
      <c r="BF115" t="str">
        <f>HYPERLINK("http://dx.doi.org/10.1016/j.jastp.2005.08.008","http://dx.doi.org/10.1016/j.jastp.2005.08.008")</f>
        <v>http://dx.doi.org/10.1016/j.jastp.2005.08.008</v>
      </c>
      <c r="BG115" t="s">
        <v>74</v>
      </c>
      <c r="BH115" t="s">
        <v>74</v>
      </c>
      <c r="BI115">
        <v>12</v>
      </c>
      <c r="BJ115" t="s">
        <v>2142</v>
      </c>
      <c r="BK115" t="s">
        <v>1411</v>
      </c>
      <c r="BL115" t="s">
        <v>2142</v>
      </c>
      <c r="BM115" t="s">
        <v>2143</v>
      </c>
      <c r="BN115" t="s">
        <v>74</v>
      </c>
      <c r="BO115" t="s">
        <v>74</v>
      </c>
      <c r="BP115" t="s">
        <v>74</v>
      </c>
      <c r="BQ115" t="s">
        <v>74</v>
      </c>
      <c r="BR115" t="s">
        <v>101</v>
      </c>
      <c r="BS115" t="s">
        <v>2144</v>
      </c>
      <c r="BT115" t="str">
        <f>HYPERLINK("https%3A%2F%2Fwww.webofscience.com%2Fwos%2Fwoscc%2Ffull-record%2FWOS:000234634800011","View Full Record in Web of Science")</f>
        <v>View Full Record in Web of Science</v>
      </c>
    </row>
    <row r="116" spans="1:72" x14ac:dyDescent="0.15">
      <c r="A116" t="s">
        <v>72</v>
      </c>
      <c r="B116" t="s">
        <v>2145</v>
      </c>
      <c r="C116" t="s">
        <v>74</v>
      </c>
      <c r="D116" t="s">
        <v>74</v>
      </c>
      <c r="E116" t="s">
        <v>74</v>
      </c>
      <c r="F116" t="s">
        <v>2145</v>
      </c>
      <c r="G116" t="s">
        <v>74</v>
      </c>
      <c r="H116" t="s">
        <v>74</v>
      </c>
      <c r="I116" t="s">
        <v>2146</v>
      </c>
      <c r="J116" t="s">
        <v>2147</v>
      </c>
      <c r="K116" t="s">
        <v>74</v>
      </c>
      <c r="L116" t="s">
        <v>74</v>
      </c>
      <c r="M116" t="s">
        <v>77</v>
      </c>
      <c r="N116" t="s">
        <v>78</v>
      </c>
      <c r="O116" t="s">
        <v>74</v>
      </c>
      <c r="P116" t="s">
        <v>74</v>
      </c>
      <c r="Q116" t="s">
        <v>74</v>
      </c>
      <c r="R116" t="s">
        <v>74</v>
      </c>
      <c r="S116" t="s">
        <v>74</v>
      </c>
      <c r="T116" t="s">
        <v>74</v>
      </c>
      <c r="U116" t="s">
        <v>2148</v>
      </c>
      <c r="V116" t="s">
        <v>2149</v>
      </c>
      <c r="W116" t="s">
        <v>2150</v>
      </c>
      <c r="X116" t="s">
        <v>2151</v>
      </c>
      <c r="Y116" t="s">
        <v>2152</v>
      </c>
      <c r="Z116" t="s">
        <v>2153</v>
      </c>
      <c r="AA116" t="s">
        <v>74</v>
      </c>
      <c r="AB116" t="s">
        <v>74</v>
      </c>
      <c r="AC116" t="s">
        <v>74</v>
      </c>
      <c r="AD116" t="s">
        <v>74</v>
      </c>
      <c r="AE116" t="s">
        <v>74</v>
      </c>
      <c r="AF116" t="s">
        <v>74</v>
      </c>
      <c r="AG116">
        <v>43</v>
      </c>
      <c r="AH116">
        <v>42</v>
      </c>
      <c r="AI116">
        <v>53</v>
      </c>
      <c r="AJ116">
        <v>1</v>
      </c>
      <c r="AK116">
        <v>41</v>
      </c>
      <c r="AL116" t="s">
        <v>2025</v>
      </c>
      <c r="AM116" t="s">
        <v>2026</v>
      </c>
      <c r="AN116" t="s">
        <v>2027</v>
      </c>
      <c r="AO116" t="s">
        <v>2154</v>
      </c>
      <c r="AP116" t="s">
        <v>2155</v>
      </c>
      <c r="AQ116" t="s">
        <v>74</v>
      </c>
      <c r="AR116" t="s">
        <v>2156</v>
      </c>
      <c r="AS116" t="s">
        <v>2157</v>
      </c>
      <c r="AT116" t="s">
        <v>74</v>
      </c>
      <c r="AU116">
        <v>2006</v>
      </c>
      <c r="AV116">
        <v>46</v>
      </c>
      <c r="AW116">
        <v>2</v>
      </c>
      <c r="AX116" t="s">
        <v>74</v>
      </c>
      <c r="AY116" t="s">
        <v>74</v>
      </c>
      <c r="AZ116" t="s">
        <v>74</v>
      </c>
      <c r="BA116" t="s">
        <v>74</v>
      </c>
      <c r="BB116">
        <v>94</v>
      </c>
      <c r="BC116">
        <v>107</v>
      </c>
      <c r="BD116" t="s">
        <v>74</v>
      </c>
      <c r="BE116" t="s">
        <v>2158</v>
      </c>
      <c r="BF116" t="str">
        <f>HYPERLINK("http://dx.doi.org/10.1002/jobm.200510006","http://dx.doi.org/10.1002/jobm.200510006")</f>
        <v>http://dx.doi.org/10.1002/jobm.200510006</v>
      </c>
      <c r="BG116" t="s">
        <v>74</v>
      </c>
      <c r="BH116" t="s">
        <v>74</v>
      </c>
      <c r="BI116">
        <v>14</v>
      </c>
      <c r="BJ116" t="s">
        <v>2054</v>
      </c>
      <c r="BK116" t="s">
        <v>98</v>
      </c>
      <c r="BL116" t="s">
        <v>2054</v>
      </c>
      <c r="BM116" t="s">
        <v>2159</v>
      </c>
      <c r="BN116">
        <v>16598832</v>
      </c>
      <c r="BO116" t="s">
        <v>1900</v>
      </c>
      <c r="BP116" t="s">
        <v>74</v>
      </c>
      <c r="BQ116" t="s">
        <v>74</v>
      </c>
      <c r="BR116" t="s">
        <v>101</v>
      </c>
      <c r="BS116" t="s">
        <v>2160</v>
      </c>
      <c r="BT116" t="str">
        <f>HYPERLINK("https%3A%2F%2Fwww.webofscience.com%2Fwos%2Fwoscc%2Ffull-record%2FWOS:000237161200002","View Full Record in Web of Science")</f>
        <v>View Full Record in Web of Science</v>
      </c>
    </row>
    <row r="117" spans="1:72" x14ac:dyDescent="0.15">
      <c r="A117" t="s">
        <v>72</v>
      </c>
      <c r="B117" t="s">
        <v>2161</v>
      </c>
      <c r="C117" t="s">
        <v>74</v>
      </c>
      <c r="D117" t="s">
        <v>74</v>
      </c>
      <c r="E117" t="s">
        <v>74</v>
      </c>
      <c r="F117" t="s">
        <v>2161</v>
      </c>
      <c r="G117" t="s">
        <v>74</v>
      </c>
      <c r="H117" t="s">
        <v>74</v>
      </c>
      <c r="I117" t="s">
        <v>2162</v>
      </c>
      <c r="J117" t="s">
        <v>2163</v>
      </c>
      <c r="K117" t="s">
        <v>74</v>
      </c>
      <c r="L117" t="s">
        <v>74</v>
      </c>
      <c r="M117" t="s">
        <v>77</v>
      </c>
      <c r="N117" t="s">
        <v>78</v>
      </c>
      <c r="O117" t="s">
        <v>74</v>
      </c>
      <c r="P117" t="s">
        <v>74</v>
      </c>
      <c r="Q117" t="s">
        <v>74</v>
      </c>
      <c r="R117" t="s">
        <v>74</v>
      </c>
      <c r="S117" t="s">
        <v>74</v>
      </c>
      <c r="T117" t="s">
        <v>74</v>
      </c>
      <c r="U117" t="s">
        <v>2164</v>
      </c>
      <c r="V117" t="s">
        <v>2165</v>
      </c>
      <c r="W117" t="s">
        <v>2166</v>
      </c>
      <c r="X117" t="s">
        <v>2167</v>
      </c>
      <c r="Y117" t="s">
        <v>2168</v>
      </c>
      <c r="Z117" t="s">
        <v>2169</v>
      </c>
      <c r="AA117" t="s">
        <v>2170</v>
      </c>
      <c r="AB117" t="s">
        <v>2171</v>
      </c>
      <c r="AC117" t="s">
        <v>2172</v>
      </c>
      <c r="AD117" t="s">
        <v>720</v>
      </c>
      <c r="AE117" t="s">
        <v>74</v>
      </c>
      <c r="AF117" t="s">
        <v>74</v>
      </c>
      <c r="AG117">
        <v>35</v>
      </c>
      <c r="AH117">
        <v>8</v>
      </c>
      <c r="AI117">
        <v>9</v>
      </c>
      <c r="AJ117">
        <v>0</v>
      </c>
      <c r="AK117">
        <v>3</v>
      </c>
      <c r="AL117" t="s">
        <v>2110</v>
      </c>
      <c r="AM117" t="s">
        <v>2111</v>
      </c>
      <c r="AN117" t="s">
        <v>2112</v>
      </c>
      <c r="AO117" t="s">
        <v>2173</v>
      </c>
      <c r="AP117" t="s">
        <v>74</v>
      </c>
      <c r="AQ117" t="s">
        <v>74</v>
      </c>
      <c r="AR117" t="s">
        <v>2174</v>
      </c>
      <c r="AS117" t="s">
        <v>2175</v>
      </c>
      <c r="AT117" t="s">
        <v>74</v>
      </c>
      <c r="AU117">
        <v>2006</v>
      </c>
      <c r="AV117">
        <v>8</v>
      </c>
      <c r="AW117">
        <v>3</v>
      </c>
      <c r="AX117" t="s">
        <v>74</v>
      </c>
      <c r="AY117" t="s">
        <v>74</v>
      </c>
      <c r="AZ117" t="s">
        <v>74</v>
      </c>
      <c r="BA117" t="s">
        <v>74</v>
      </c>
      <c r="BB117">
        <v>353</v>
      </c>
      <c r="BC117">
        <v>361</v>
      </c>
      <c r="BD117" t="s">
        <v>74</v>
      </c>
      <c r="BE117" t="s">
        <v>2176</v>
      </c>
      <c r="BF117" t="str">
        <f>HYPERLINK("http://dx.doi.org/10.1039/b511482a","http://dx.doi.org/10.1039/b511482a")</f>
        <v>http://dx.doi.org/10.1039/b511482a</v>
      </c>
      <c r="BG117" t="s">
        <v>74</v>
      </c>
      <c r="BH117" t="s">
        <v>74</v>
      </c>
      <c r="BI117">
        <v>9</v>
      </c>
      <c r="BJ117" t="s">
        <v>1244</v>
      </c>
      <c r="BK117" t="s">
        <v>98</v>
      </c>
      <c r="BL117" t="s">
        <v>1245</v>
      </c>
      <c r="BM117" t="s">
        <v>2177</v>
      </c>
      <c r="BN117">
        <v>16528419</v>
      </c>
      <c r="BO117" t="s">
        <v>74</v>
      </c>
      <c r="BP117" t="s">
        <v>74</v>
      </c>
      <c r="BQ117" t="s">
        <v>74</v>
      </c>
      <c r="BR117" t="s">
        <v>101</v>
      </c>
      <c r="BS117" t="s">
        <v>2178</v>
      </c>
      <c r="BT117" t="str">
        <f>HYPERLINK("https%3A%2F%2Fwww.webofscience.com%2Fwos%2Fwoscc%2Ffull-record%2FWOS:000235990000004","View Full Record in Web of Science")</f>
        <v>View Full Record in Web of Science</v>
      </c>
    </row>
    <row r="118" spans="1:72" x14ac:dyDescent="0.15">
      <c r="A118" t="s">
        <v>72</v>
      </c>
      <c r="B118" t="s">
        <v>2179</v>
      </c>
      <c r="C118" t="s">
        <v>74</v>
      </c>
      <c r="D118" t="s">
        <v>74</v>
      </c>
      <c r="E118" t="s">
        <v>74</v>
      </c>
      <c r="F118" t="s">
        <v>2179</v>
      </c>
      <c r="G118" t="s">
        <v>74</v>
      </c>
      <c r="H118" t="s">
        <v>74</v>
      </c>
      <c r="I118" t="s">
        <v>2180</v>
      </c>
      <c r="J118" t="s">
        <v>2163</v>
      </c>
      <c r="K118" t="s">
        <v>74</v>
      </c>
      <c r="L118" t="s">
        <v>74</v>
      </c>
      <c r="M118" t="s">
        <v>77</v>
      </c>
      <c r="N118" t="s">
        <v>78</v>
      </c>
      <c r="O118" t="s">
        <v>74</v>
      </c>
      <c r="P118" t="s">
        <v>74</v>
      </c>
      <c r="Q118" t="s">
        <v>74</v>
      </c>
      <c r="R118" t="s">
        <v>74</v>
      </c>
      <c r="S118" t="s">
        <v>74</v>
      </c>
      <c r="T118" t="s">
        <v>74</v>
      </c>
      <c r="U118" t="s">
        <v>2181</v>
      </c>
      <c r="V118" t="s">
        <v>2182</v>
      </c>
      <c r="W118" t="s">
        <v>2183</v>
      </c>
      <c r="X118" t="s">
        <v>2184</v>
      </c>
      <c r="Y118" t="s">
        <v>2185</v>
      </c>
      <c r="Z118" t="s">
        <v>2186</v>
      </c>
      <c r="AA118" t="s">
        <v>2187</v>
      </c>
      <c r="AB118" t="s">
        <v>2188</v>
      </c>
      <c r="AC118" t="s">
        <v>74</v>
      </c>
      <c r="AD118" t="s">
        <v>74</v>
      </c>
      <c r="AE118" t="s">
        <v>74</v>
      </c>
      <c r="AF118" t="s">
        <v>74</v>
      </c>
      <c r="AG118">
        <v>51</v>
      </c>
      <c r="AH118">
        <v>17</v>
      </c>
      <c r="AI118">
        <v>18</v>
      </c>
      <c r="AJ118">
        <v>0</v>
      </c>
      <c r="AK118">
        <v>5</v>
      </c>
      <c r="AL118" t="s">
        <v>2110</v>
      </c>
      <c r="AM118" t="s">
        <v>2111</v>
      </c>
      <c r="AN118" t="s">
        <v>2112</v>
      </c>
      <c r="AO118" t="s">
        <v>2173</v>
      </c>
      <c r="AP118" t="s">
        <v>74</v>
      </c>
      <c r="AQ118" t="s">
        <v>74</v>
      </c>
      <c r="AR118" t="s">
        <v>2174</v>
      </c>
      <c r="AS118" t="s">
        <v>2175</v>
      </c>
      <c r="AT118" t="s">
        <v>74</v>
      </c>
      <c r="AU118">
        <v>2006</v>
      </c>
      <c r="AV118">
        <v>8</v>
      </c>
      <c r="AW118">
        <v>3</v>
      </c>
      <c r="AX118" t="s">
        <v>74</v>
      </c>
      <c r="AY118" t="s">
        <v>74</v>
      </c>
      <c r="AZ118" t="s">
        <v>74</v>
      </c>
      <c r="BA118" t="s">
        <v>74</v>
      </c>
      <c r="BB118">
        <v>406</v>
      </c>
      <c r="BC118">
        <v>413</v>
      </c>
      <c r="BD118" t="s">
        <v>74</v>
      </c>
      <c r="BE118" t="s">
        <v>2189</v>
      </c>
      <c r="BF118" t="str">
        <f>HYPERLINK("http://dx.doi.org/10.1039/b515886a","http://dx.doi.org/10.1039/b515886a")</f>
        <v>http://dx.doi.org/10.1039/b515886a</v>
      </c>
      <c r="BG118" t="s">
        <v>74</v>
      </c>
      <c r="BH118" t="s">
        <v>74</v>
      </c>
      <c r="BI118">
        <v>8</v>
      </c>
      <c r="BJ118" t="s">
        <v>1244</v>
      </c>
      <c r="BK118" t="s">
        <v>98</v>
      </c>
      <c r="BL118" t="s">
        <v>1245</v>
      </c>
      <c r="BM118" t="s">
        <v>2177</v>
      </c>
      <c r="BN118">
        <v>16528426</v>
      </c>
      <c r="BO118" t="s">
        <v>74</v>
      </c>
      <c r="BP118" t="s">
        <v>74</v>
      </c>
      <c r="BQ118" t="s">
        <v>74</v>
      </c>
      <c r="BR118" t="s">
        <v>101</v>
      </c>
      <c r="BS118" t="s">
        <v>2190</v>
      </c>
      <c r="BT118" t="str">
        <f>HYPERLINK("https%3A%2F%2Fwww.webofscience.com%2Fwos%2Fwoscc%2Ffull-record%2FWOS:000235990000011","View Full Record in Web of Science")</f>
        <v>View Full Record in Web of Science</v>
      </c>
    </row>
    <row r="119" spans="1:72" x14ac:dyDescent="0.15">
      <c r="A119" t="s">
        <v>72</v>
      </c>
      <c r="B119" t="s">
        <v>2191</v>
      </c>
      <c r="C119" t="s">
        <v>74</v>
      </c>
      <c r="D119" t="s">
        <v>74</v>
      </c>
      <c r="E119" t="s">
        <v>74</v>
      </c>
      <c r="F119" t="s">
        <v>2191</v>
      </c>
      <c r="G119" t="s">
        <v>74</v>
      </c>
      <c r="H119" t="s">
        <v>74</v>
      </c>
      <c r="I119" t="s">
        <v>2192</v>
      </c>
      <c r="J119" t="s">
        <v>2193</v>
      </c>
      <c r="K119" t="s">
        <v>74</v>
      </c>
      <c r="L119" t="s">
        <v>74</v>
      </c>
      <c r="M119" t="s">
        <v>77</v>
      </c>
      <c r="N119" t="s">
        <v>335</v>
      </c>
      <c r="O119" t="s">
        <v>2194</v>
      </c>
      <c r="P119" t="s">
        <v>2195</v>
      </c>
      <c r="Q119" t="s">
        <v>2196</v>
      </c>
      <c r="R119" t="s">
        <v>74</v>
      </c>
      <c r="S119" t="s">
        <v>74</v>
      </c>
      <c r="T119" t="s">
        <v>2197</v>
      </c>
      <c r="U119" t="s">
        <v>2198</v>
      </c>
      <c r="V119" t="s">
        <v>2199</v>
      </c>
      <c r="W119" t="s">
        <v>2200</v>
      </c>
      <c r="X119" t="s">
        <v>2201</v>
      </c>
      <c r="Y119" t="s">
        <v>2202</v>
      </c>
      <c r="Z119" t="s">
        <v>2203</v>
      </c>
      <c r="AA119" t="s">
        <v>2204</v>
      </c>
      <c r="AB119" t="s">
        <v>74</v>
      </c>
      <c r="AC119" t="s">
        <v>74</v>
      </c>
      <c r="AD119" t="s">
        <v>74</v>
      </c>
      <c r="AE119" t="s">
        <v>74</v>
      </c>
      <c r="AF119" t="s">
        <v>74</v>
      </c>
      <c r="AG119">
        <v>20</v>
      </c>
      <c r="AH119">
        <v>71</v>
      </c>
      <c r="AI119">
        <v>82</v>
      </c>
      <c r="AJ119">
        <v>0</v>
      </c>
      <c r="AK119">
        <v>58</v>
      </c>
      <c r="AL119" t="s">
        <v>1147</v>
      </c>
      <c r="AM119" t="s">
        <v>1148</v>
      </c>
      <c r="AN119" t="s">
        <v>1149</v>
      </c>
      <c r="AO119" t="s">
        <v>2205</v>
      </c>
      <c r="AP119" t="s">
        <v>2206</v>
      </c>
      <c r="AQ119" t="s">
        <v>74</v>
      </c>
      <c r="AR119" t="s">
        <v>2207</v>
      </c>
      <c r="AS119" t="s">
        <v>2208</v>
      </c>
      <c r="AT119" t="s">
        <v>2209</v>
      </c>
      <c r="AU119">
        <v>2006</v>
      </c>
      <c r="AV119">
        <v>88</v>
      </c>
      <c r="AW119" t="s">
        <v>1655</v>
      </c>
      <c r="AX119" t="s">
        <v>74</v>
      </c>
      <c r="AY119" t="s">
        <v>74</v>
      </c>
      <c r="AZ119" t="s">
        <v>2210</v>
      </c>
      <c r="BA119" t="s">
        <v>74</v>
      </c>
      <c r="BB119">
        <v>252</v>
      </c>
      <c r="BC119">
        <v>256</v>
      </c>
      <c r="BD119" t="s">
        <v>74</v>
      </c>
      <c r="BE119" t="s">
        <v>2211</v>
      </c>
      <c r="BF119" t="str">
        <f>HYPERLINK("http://dx.doi.org/10.1016/j.gexplo.2005.08.050","http://dx.doi.org/10.1016/j.gexplo.2005.08.050")</f>
        <v>http://dx.doi.org/10.1016/j.gexplo.2005.08.050</v>
      </c>
      <c r="BG119" t="s">
        <v>74</v>
      </c>
      <c r="BH119" t="s">
        <v>74</v>
      </c>
      <c r="BI119">
        <v>5</v>
      </c>
      <c r="BJ119" t="s">
        <v>1348</v>
      </c>
      <c r="BK119" t="s">
        <v>1411</v>
      </c>
      <c r="BL119" t="s">
        <v>1348</v>
      </c>
      <c r="BM119" t="s">
        <v>2212</v>
      </c>
      <c r="BN119" t="s">
        <v>74</v>
      </c>
      <c r="BO119" t="s">
        <v>74</v>
      </c>
      <c r="BP119" t="s">
        <v>74</v>
      </c>
      <c r="BQ119" t="s">
        <v>74</v>
      </c>
      <c r="BR119" t="s">
        <v>101</v>
      </c>
      <c r="BS119" t="s">
        <v>2213</v>
      </c>
      <c r="BT119" t="str">
        <f>HYPERLINK("https%3A%2F%2Fwww.webofscience.com%2Fwos%2Fwoscc%2Ffull-record%2FWOS:000235638900058","View Full Record in Web of Science")</f>
        <v>View Full Record in Web of Science</v>
      </c>
    </row>
    <row r="120" spans="1:72" x14ac:dyDescent="0.15">
      <c r="A120" t="s">
        <v>72</v>
      </c>
      <c r="B120" t="s">
        <v>2214</v>
      </c>
      <c r="C120" t="s">
        <v>74</v>
      </c>
      <c r="D120" t="s">
        <v>74</v>
      </c>
      <c r="E120" t="s">
        <v>74</v>
      </c>
      <c r="F120" t="s">
        <v>2214</v>
      </c>
      <c r="G120" t="s">
        <v>74</v>
      </c>
      <c r="H120" t="s">
        <v>74</v>
      </c>
      <c r="I120" t="s">
        <v>2215</v>
      </c>
      <c r="J120" t="s">
        <v>2193</v>
      </c>
      <c r="K120" t="s">
        <v>74</v>
      </c>
      <c r="L120" t="s">
        <v>74</v>
      </c>
      <c r="M120" t="s">
        <v>77</v>
      </c>
      <c r="N120" t="s">
        <v>335</v>
      </c>
      <c r="O120" t="s">
        <v>2194</v>
      </c>
      <c r="P120" t="s">
        <v>2195</v>
      </c>
      <c r="Q120" t="s">
        <v>2196</v>
      </c>
      <c r="R120" t="s">
        <v>74</v>
      </c>
      <c r="S120" t="s">
        <v>74</v>
      </c>
      <c r="T120" t="s">
        <v>2216</v>
      </c>
      <c r="U120" t="s">
        <v>2217</v>
      </c>
      <c r="V120" t="s">
        <v>2218</v>
      </c>
      <c r="W120" t="s">
        <v>2219</v>
      </c>
      <c r="X120" t="s">
        <v>2220</v>
      </c>
      <c r="Y120" t="s">
        <v>2221</v>
      </c>
      <c r="Z120" t="s">
        <v>2222</v>
      </c>
      <c r="AA120" t="s">
        <v>2223</v>
      </c>
      <c r="AB120" t="s">
        <v>2224</v>
      </c>
      <c r="AC120" t="s">
        <v>74</v>
      </c>
      <c r="AD120" t="s">
        <v>74</v>
      </c>
      <c r="AE120" t="s">
        <v>74</v>
      </c>
      <c r="AF120" t="s">
        <v>74</v>
      </c>
      <c r="AG120">
        <v>26</v>
      </c>
      <c r="AH120">
        <v>9</v>
      </c>
      <c r="AI120">
        <v>13</v>
      </c>
      <c r="AJ120">
        <v>0</v>
      </c>
      <c r="AK120">
        <v>5</v>
      </c>
      <c r="AL120" t="s">
        <v>1147</v>
      </c>
      <c r="AM120" t="s">
        <v>1148</v>
      </c>
      <c r="AN120" t="s">
        <v>1149</v>
      </c>
      <c r="AO120" t="s">
        <v>2205</v>
      </c>
      <c r="AP120" t="s">
        <v>74</v>
      </c>
      <c r="AQ120" t="s">
        <v>74</v>
      </c>
      <c r="AR120" t="s">
        <v>2207</v>
      </c>
      <c r="AS120" t="s">
        <v>2208</v>
      </c>
      <c r="AT120" t="s">
        <v>2209</v>
      </c>
      <c r="AU120">
        <v>2006</v>
      </c>
      <c r="AV120">
        <v>88</v>
      </c>
      <c r="AW120" t="s">
        <v>1655</v>
      </c>
      <c r="AX120" t="s">
        <v>74</v>
      </c>
      <c r="AY120" t="s">
        <v>74</v>
      </c>
      <c r="AZ120" t="s">
        <v>2210</v>
      </c>
      <c r="BA120" t="s">
        <v>74</v>
      </c>
      <c r="BB120">
        <v>257</v>
      </c>
      <c r="BC120">
        <v>261</v>
      </c>
      <c r="BD120" t="s">
        <v>74</v>
      </c>
      <c r="BE120" t="s">
        <v>2225</v>
      </c>
      <c r="BF120" t="str">
        <f>HYPERLINK("http://dx.doi.org/10.1016/j.gexplo.2005.08.051","http://dx.doi.org/10.1016/j.gexplo.2005.08.051")</f>
        <v>http://dx.doi.org/10.1016/j.gexplo.2005.08.051</v>
      </c>
      <c r="BG120" t="s">
        <v>74</v>
      </c>
      <c r="BH120" t="s">
        <v>74</v>
      </c>
      <c r="BI120">
        <v>5</v>
      </c>
      <c r="BJ120" t="s">
        <v>1348</v>
      </c>
      <c r="BK120" t="s">
        <v>1411</v>
      </c>
      <c r="BL120" t="s">
        <v>1348</v>
      </c>
      <c r="BM120" t="s">
        <v>2212</v>
      </c>
      <c r="BN120" t="s">
        <v>74</v>
      </c>
      <c r="BO120" t="s">
        <v>74</v>
      </c>
      <c r="BP120" t="s">
        <v>74</v>
      </c>
      <c r="BQ120" t="s">
        <v>74</v>
      </c>
      <c r="BR120" t="s">
        <v>101</v>
      </c>
      <c r="BS120" t="s">
        <v>2226</v>
      </c>
      <c r="BT120" t="str">
        <f>HYPERLINK("https%3A%2F%2Fwww.webofscience.com%2Fwos%2Fwoscc%2Ffull-record%2FWOS:000235638900059","View Full Record in Web of Science")</f>
        <v>View Full Record in Web of Science</v>
      </c>
    </row>
    <row r="121" spans="1:72" x14ac:dyDescent="0.15">
      <c r="A121" t="s">
        <v>72</v>
      </c>
      <c r="B121" t="s">
        <v>2227</v>
      </c>
      <c r="C121" t="s">
        <v>74</v>
      </c>
      <c r="D121" t="s">
        <v>74</v>
      </c>
      <c r="E121" t="s">
        <v>74</v>
      </c>
      <c r="F121" t="s">
        <v>2228</v>
      </c>
      <c r="G121" t="s">
        <v>74</v>
      </c>
      <c r="H121" t="s">
        <v>74</v>
      </c>
      <c r="I121" t="s">
        <v>2229</v>
      </c>
      <c r="J121" t="s">
        <v>2230</v>
      </c>
      <c r="K121" t="s">
        <v>74</v>
      </c>
      <c r="L121" t="s">
        <v>74</v>
      </c>
      <c r="M121" t="s">
        <v>77</v>
      </c>
      <c r="N121" t="s">
        <v>78</v>
      </c>
      <c r="O121" t="s">
        <v>74</v>
      </c>
      <c r="P121" t="s">
        <v>74</v>
      </c>
      <c r="Q121" t="s">
        <v>74</v>
      </c>
      <c r="R121" t="s">
        <v>74</v>
      </c>
      <c r="S121" t="s">
        <v>74</v>
      </c>
      <c r="T121" t="s">
        <v>74</v>
      </c>
      <c r="U121" t="s">
        <v>2231</v>
      </c>
      <c r="V121" t="s">
        <v>2232</v>
      </c>
      <c r="W121" t="s">
        <v>2233</v>
      </c>
      <c r="X121" t="s">
        <v>2234</v>
      </c>
      <c r="Y121" t="s">
        <v>2235</v>
      </c>
      <c r="Z121" t="s">
        <v>2236</v>
      </c>
      <c r="AA121" t="s">
        <v>2237</v>
      </c>
      <c r="AB121" t="s">
        <v>2238</v>
      </c>
      <c r="AC121" t="s">
        <v>74</v>
      </c>
      <c r="AD121" t="s">
        <v>74</v>
      </c>
      <c r="AE121" t="s">
        <v>74</v>
      </c>
      <c r="AF121" t="s">
        <v>74</v>
      </c>
      <c r="AG121">
        <v>55</v>
      </c>
      <c r="AH121">
        <v>19</v>
      </c>
      <c r="AI121">
        <v>23</v>
      </c>
      <c r="AJ121">
        <v>0</v>
      </c>
      <c r="AK121">
        <v>14</v>
      </c>
      <c r="AL121" t="s">
        <v>2239</v>
      </c>
      <c r="AM121" t="s">
        <v>2111</v>
      </c>
      <c r="AN121" t="s">
        <v>2240</v>
      </c>
      <c r="AO121" t="s">
        <v>2241</v>
      </c>
      <c r="AP121" t="s">
        <v>2242</v>
      </c>
      <c r="AQ121" t="s">
        <v>74</v>
      </c>
      <c r="AR121" t="s">
        <v>2243</v>
      </c>
      <c r="AS121" t="s">
        <v>2244</v>
      </c>
      <c r="AT121" t="s">
        <v>74</v>
      </c>
      <c r="AU121">
        <v>2006</v>
      </c>
      <c r="AV121">
        <v>52</v>
      </c>
      <c r="AW121">
        <v>176</v>
      </c>
      <c r="AX121" t="s">
        <v>74</v>
      </c>
      <c r="AY121" t="s">
        <v>74</v>
      </c>
      <c r="AZ121" t="s">
        <v>74</v>
      </c>
      <c r="BA121" t="s">
        <v>74</v>
      </c>
      <c r="BB121">
        <v>17</v>
      </c>
      <c r="BC121">
        <v>30</v>
      </c>
      <c r="BD121" t="s">
        <v>74</v>
      </c>
      <c r="BE121" t="s">
        <v>2245</v>
      </c>
      <c r="BF121" t="str">
        <f>HYPERLINK("http://dx.doi.org/10.3189/172756506781828953","http://dx.doi.org/10.3189/172756506781828953")</f>
        <v>http://dx.doi.org/10.3189/172756506781828953</v>
      </c>
      <c r="BG121" t="s">
        <v>74</v>
      </c>
      <c r="BH121" t="s">
        <v>74</v>
      </c>
      <c r="BI121">
        <v>14</v>
      </c>
      <c r="BJ121" t="s">
        <v>2246</v>
      </c>
      <c r="BK121" t="s">
        <v>98</v>
      </c>
      <c r="BL121" t="s">
        <v>1531</v>
      </c>
      <c r="BM121" t="s">
        <v>2247</v>
      </c>
      <c r="BN121" t="s">
        <v>74</v>
      </c>
      <c r="BO121" t="s">
        <v>2248</v>
      </c>
      <c r="BP121" t="s">
        <v>74</v>
      </c>
      <c r="BQ121" t="s">
        <v>74</v>
      </c>
      <c r="BR121" t="s">
        <v>101</v>
      </c>
      <c r="BS121" t="s">
        <v>2249</v>
      </c>
      <c r="BT121" t="str">
        <f>HYPERLINK("https%3A%2F%2Fwww.webofscience.com%2Fwos%2Fwoscc%2Ffull-record%2FWOS:000240608900003","View Full Record in Web of Science")</f>
        <v>View Full Record in Web of Science</v>
      </c>
    </row>
    <row r="122" spans="1:72" x14ac:dyDescent="0.15">
      <c r="A122" t="s">
        <v>72</v>
      </c>
      <c r="B122" t="s">
        <v>2250</v>
      </c>
      <c r="C122" t="s">
        <v>74</v>
      </c>
      <c r="D122" t="s">
        <v>74</v>
      </c>
      <c r="E122" t="s">
        <v>74</v>
      </c>
      <c r="F122" t="s">
        <v>2251</v>
      </c>
      <c r="G122" t="s">
        <v>74</v>
      </c>
      <c r="H122" t="s">
        <v>74</v>
      </c>
      <c r="I122" t="s">
        <v>2252</v>
      </c>
      <c r="J122" t="s">
        <v>2230</v>
      </c>
      <c r="K122" t="s">
        <v>74</v>
      </c>
      <c r="L122" t="s">
        <v>74</v>
      </c>
      <c r="M122" t="s">
        <v>77</v>
      </c>
      <c r="N122" t="s">
        <v>78</v>
      </c>
      <c r="O122" t="s">
        <v>74</v>
      </c>
      <c r="P122" t="s">
        <v>74</v>
      </c>
      <c r="Q122" t="s">
        <v>74</v>
      </c>
      <c r="R122" t="s">
        <v>74</v>
      </c>
      <c r="S122" t="s">
        <v>74</v>
      </c>
      <c r="T122" t="s">
        <v>74</v>
      </c>
      <c r="U122" t="s">
        <v>2253</v>
      </c>
      <c r="V122" t="s">
        <v>2254</v>
      </c>
      <c r="W122" t="s">
        <v>2255</v>
      </c>
      <c r="X122" t="s">
        <v>2256</v>
      </c>
      <c r="Y122" t="s">
        <v>2257</v>
      </c>
      <c r="Z122" t="s">
        <v>2258</v>
      </c>
      <c r="AA122" t="s">
        <v>2259</v>
      </c>
      <c r="AB122" t="s">
        <v>2260</v>
      </c>
      <c r="AC122" t="s">
        <v>74</v>
      </c>
      <c r="AD122" t="s">
        <v>74</v>
      </c>
      <c r="AE122" t="s">
        <v>74</v>
      </c>
      <c r="AF122" t="s">
        <v>74</v>
      </c>
      <c r="AG122">
        <v>29</v>
      </c>
      <c r="AH122">
        <v>26</v>
      </c>
      <c r="AI122">
        <v>29</v>
      </c>
      <c r="AJ122">
        <v>0</v>
      </c>
      <c r="AK122">
        <v>10</v>
      </c>
      <c r="AL122" t="s">
        <v>2239</v>
      </c>
      <c r="AM122" t="s">
        <v>2111</v>
      </c>
      <c r="AN122" t="s">
        <v>2240</v>
      </c>
      <c r="AO122" t="s">
        <v>2241</v>
      </c>
      <c r="AP122" t="s">
        <v>2242</v>
      </c>
      <c r="AQ122" t="s">
        <v>74</v>
      </c>
      <c r="AR122" t="s">
        <v>2243</v>
      </c>
      <c r="AS122" t="s">
        <v>2244</v>
      </c>
      <c r="AT122" t="s">
        <v>74</v>
      </c>
      <c r="AU122">
        <v>2006</v>
      </c>
      <c r="AV122">
        <v>52</v>
      </c>
      <c r="AW122">
        <v>177</v>
      </c>
      <c r="AX122" t="s">
        <v>74</v>
      </c>
      <c r="AY122" t="s">
        <v>74</v>
      </c>
      <c r="AZ122" t="s">
        <v>74</v>
      </c>
      <c r="BA122" t="s">
        <v>74</v>
      </c>
      <c r="BB122">
        <v>191</v>
      </c>
      <c r="BC122">
        <v>202</v>
      </c>
      <c r="BD122" t="s">
        <v>74</v>
      </c>
      <c r="BE122" t="s">
        <v>2261</v>
      </c>
      <c r="BF122" t="str">
        <f>HYPERLINK("http://dx.doi.org/10.3189/172756506781828728","http://dx.doi.org/10.3189/172756506781828728")</f>
        <v>http://dx.doi.org/10.3189/172756506781828728</v>
      </c>
      <c r="BG122" t="s">
        <v>74</v>
      </c>
      <c r="BH122" t="s">
        <v>74</v>
      </c>
      <c r="BI122">
        <v>12</v>
      </c>
      <c r="BJ122" t="s">
        <v>2246</v>
      </c>
      <c r="BK122" t="s">
        <v>98</v>
      </c>
      <c r="BL122" t="s">
        <v>1531</v>
      </c>
      <c r="BM122" t="s">
        <v>2262</v>
      </c>
      <c r="BN122" t="s">
        <v>74</v>
      </c>
      <c r="BO122" t="s">
        <v>2248</v>
      </c>
      <c r="BP122" t="s">
        <v>74</v>
      </c>
      <c r="BQ122" t="s">
        <v>74</v>
      </c>
      <c r="BR122" t="s">
        <v>101</v>
      </c>
      <c r="BS122" t="s">
        <v>2263</v>
      </c>
      <c r="BT122" t="str">
        <f>HYPERLINK("https%3A%2F%2Fwww.webofscience.com%2Fwos%2Fwoscc%2Ffull-record%2FWOS:000240609000003","View Full Record in Web of Science")</f>
        <v>View Full Record in Web of Science</v>
      </c>
    </row>
    <row r="123" spans="1:72" x14ac:dyDescent="0.15">
      <c r="A123" t="s">
        <v>72</v>
      </c>
      <c r="B123" t="s">
        <v>2264</v>
      </c>
      <c r="C123" t="s">
        <v>74</v>
      </c>
      <c r="D123" t="s">
        <v>74</v>
      </c>
      <c r="E123" t="s">
        <v>74</v>
      </c>
      <c r="F123" t="s">
        <v>2265</v>
      </c>
      <c r="G123" t="s">
        <v>74</v>
      </c>
      <c r="H123" t="s">
        <v>74</v>
      </c>
      <c r="I123" t="s">
        <v>2266</v>
      </c>
      <c r="J123" t="s">
        <v>2230</v>
      </c>
      <c r="K123" t="s">
        <v>74</v>
      </c>
      <c r="L123" t="s">
        <v>74</v>
      </c>
      <c r="M123" t="s">
        <v>77</v>
      </c>
      <c r="N123" t="s">
        <v>78</v>
      </c>
      <c r="O123" t="s">
        <v>74</v>
      </c>
      <c r="P123" t="s">
        <v>74</v>
      </c>
      <c r="Q123" t="s">
        <v>74</v>
      </c>
      <c r="R123" t="s">
        <v>74</v>
      </c>
      <c r="S123" t="s">
        <v>74</v>
      </c>
      <c r="T123" t="s">
        <v>74</v>
      </c>
      <c r="U123" t="s">
        <v>2267</v>
      </c>
      <c r="V123" t="s">
        <v>2268</v>
      </c>
      <c r="W123" t="s">
        <v>2269</v>
      </c>
      <c r="X123" t="s">
        <v>2270</v>
      </c>
      <c r="Y123" t="s">
        <v>2271</v>
      </c>
      <c r="Z123" t="s">
        <v>2272</v>
      </c>
      <c r="AA123" t="s">
        <v>2273</v>
      </c>
      <c r="AB123" t="s">
        <v>2274</v>
      </c>
      <c r="AC123" t="s">
        <v>74</v>
      </c>
      <c r="AD123" t="s">
        <v>74</v>
      </c>
      <c r="AE123" t="s">
        <v>74</v>
      </c>
      <c r="AF123" t="s">
        <v>74</v>
      </c>
      <c r="AG123">
        <v>50</v>
      </c>
      <c r="AH123">
        <v>32</v>
      </c>
      <c r="AI123">
        <v>35</v>
      </c>
      <c r="AJ123">
        <v>0</v>
      </c>
      <c r="AK123">
        <v>23</v>
      </c>
      <c r="AL123" t="s">
        <v>2239</v>
      </c>
      <c r="AM123" t="s">
        <v>2111</v>
      </c>
      <c r="AN123" t="s">
        <v>2240</v>
      </c>
      <c r="AO123" t="s">
        <v>2241</v>
      </c>
      <c r="AP123" t="s">
        <v>2242</v>
      </c>
      <c r="AQ123" t="s">
        <v>74</v>
      </c>
      <c r="AR123" t="s">
        <v>2243</v>
      </c>
      <c r="AS123" t="s">
        <v>2244</v>
      </c>
      <c r="AT123" t="s">
        <v>74</v>
      </c>
      <c r="AU123">
        <v>2006</v>
      </c>
      <c r="AV123">
        <v>52</v>
      </c>
      <c r="AW123">
        <v>177</v>
      </c>
      <c r="AX123" t="s">
        <v>74</v>
      </c>
      <c r="AY123" t="s">
        <v>74</v>
      </c>
      <c r="AZ123" t="s">
        <v>74</v>
      </c>
      <c r="BA123" t="s">
        <v>74</v>
      </c>
      <c r="BB123">
        <v>223</v>
      </c>
      <c r="BC123">
        <v>234</v>
      </c>
      <c r="BD123" t="s">
        <v>74</v>
      </c>
      <c r="BE123" t="s">
        <v>2275</v>
      </c>
      <c r="BF123" t="str">
        <f>HYPERLINK("http://dx.doi.org/10.3189/172756506781828692","http://dx.doi.org/10.3189/172756506781828692")</f>
        <v>http://dx.doi.org/10.3189/172756506781828692</v>
      </c>
      <c r="BG123" t="s">
        <v>74</v>
      </c>
      <c r="BH123" t="s">
        <v>74</v>
      </c>
      <c r="BI123">
        <v>12</v>
      </c>
      <c r="BJ123" t="s">
        <v>2246</v>
      </c>
      <c r="BK123" t="s">
        <v>98</v>
      </c>
      <c r="BL123" t="s">
        <v>1531</v>
      </c>
      <c r="BM123" t="s">
        <v>2262</v>
      </c>
      <c r="BN123" t="s">
        <v>74</v>
      </c>
      <c r="BO123" t="s">
        <v>2276</v>
      </c>
      <c r="BP123" t="s">
        <v>74</v>
      </c>
      <c r="BQ123" t="s">
        <v>74</v>
      </c>
      <c r="BR123" t="s">
        <v>101</v>
      </c>
      <c r="BS123" t="s">
        <v>2277</v>
      </c>
      <c r="BT123" t="str">
        <f>HYPERLINK("https%3A%2F%2Fwww.webofscience.com%2Fwos%2Fwoscc%2Ffull-record%2FWOS:000240609000006","View Full Record in Web of Science")</f>
        <v>View Full Record in Web of Science</v>
      </c>
    </row>
    <row r="124" spans="1:72" x14ac:dyDescent="0.15">
      <c r="A124" t="s">
        <v>72</v>
      </c>
      <c r="B124" t="s">
        <v>2278</v>
      </c>
      <c r="C124" t="s">
        <v>74</v>
      </c>
      <c r="D124" t="s">
        <v>74</v>
      </c>
      <c r="E124" t="s">
        <v>74</v>
      </c>
      <c r="F124" t="s">
        <v>2279</v>
      </c>
      <c r="G124" t="s">
        <v>74</v>
      </c>
      <c r="H124" t="s">
        <v>74</v>
      </c>
      <c r="I124" t="s">
        <v>2280</v>
      </c>
      <c r="J124" t="s">
        <v>2230</v>
      </c>
      <c r="K124" t="s">
        <v>74</v>
      </c>
      <c r="L124" t="s">
        <v>74</v>
      </c>
      <c r="M124" t="s">
        <v>77</v>
      </c>
      <c r="N124" t="s">
        <v>78</v>
      </c>
      <c r="O124" t="s">
        <v>74</v>
      </c>
      <c r="P124" t="s">
        <v>74</v>
      </c>
      <c r="Q124" t="s">
        <v>74</v>
      </c>
      <c r="R124" t="s">
        <v>74</v>
      </c>
      <c r="S124" t="s">
        <v>74</v>
      </c>
      <c r="T124" t="s">
        <v>74</v>
      </c>
      <c r="U124" t="s">
        <v>2281</v>
      </c>
      <c r="V124" t="s">
        <v>2282</v>
      </c>
      <c r="W124" t="s">
        <v>2283</v>
      </c>
      <c r="X124" t="s">
        <v>2284</v>
      </c>
      <c r="Y124" t="s">
        <v>2285</v>
      </c>
      <c r="Z124" t="s">
        <v>2286</v>
      </c>
      <c r="AA124" t="s">
        <v>74</v>
      </c>
      <c r="AB124" t="s">
        <v>74</v>
      </c>
      <c r="AC124" t="s">
        <v>74</v>
      </c>
      <c r="AD124" t="s">
        <v>74</v>
      </c>
      <c r="AE124" t="s">
        <v>74</v>
      </c>
      <c r="AF124" t="s">
        <v>74</v>
      </c>
      <c r="AG124">
        <v>28</v>
      </c>
      <c r="AH124">
        <v>18</v>
      </c>
      <c r="AI124">
        <v>19</v>
      </c>
      <c r="AJ124">
        <v>0</v>
      </c>
      <c r="AK124">
        <v>1</v>
      </c>
      <c r="AL124" t="s">
        <v>2239</v>
      </c>
      <c r="AM124" t="s">
        <v>2111</v>
      </c>
      <c r="AN124" t="s">
        <v>2240</v>
      </c>
      <c r="AO124" t="s">
        <v>2241</v>
      </c>
      <c r="AP124" t="s">
        <v>2242</v>
      </c>
      <c r="AQ124" t="s">
        <v>74</v>
      </c>
      <c r="AR124" t="s">
        <v>2243</v>
      </c>
      <c r="AS124" t="s">
        <v>2244</v>
      </c>
      <c r="AT124" t="s">
        <v>74</v>
      </c>
      <c r="AU124">
        <v>2006</v>
      </c>
      <c r="AV124">
        <v>52</v>
      </c>
      <c r="AW124">
        <v>177</v>
      </c>
      <c r="AX124" t="s">
        <v>74</v>
      </c>
      <c r="AY124" t="s">
        <v>74</v>
      </c>
      <c r="AZ124" t="s">
        <v>74</v>
      </c>
      <c r="BA124" t="s">
        <v>74</v>
      </c>
      <c r="BB124">
        <v>235</v>
      </c>
      <c r="BC124">
        <v>247</v>
      </c>
      <c r="BD124" t="s">
        <v>74</v>
      </c>
      <c r="BE124" t="s">
        <v>2287</v>
      </c>
      <c r="BF124" t="str">
        <f>HYPERLINK("http://dx.doi.org/10.3189/172756506781828683","http://dx.doi.org/10.3189/172756506781828683")</f>
        <v>http://dx.doi.org/10.3189/172756506781828683</v>
      </c>
      <c r="BG124" t="s">
        <v>74</v>
      </c>
      <c r="BH124" t="s">
        <v>74</v>
      </c>
      <c r="BI124">
        <v>13</v>
      </c>
      <c r="BJ124" t="s">
        <v>2246</v>
      </c>
      <c r="BK124" t="s">
        <v>98</v>
      </c>
      <c r="BL124" t="s">
        <v>1531</v>
      </c>
      <c r="BM124" t="s">
        <v>2262</v>
      </c>
      <c r="BN124" t="s">
        <v>74</v>
      </c>
      <c r="BO124" t="s">
        <v>1900</v>
      </c>
      <c r="BP124" t="s">
        <v>74</v>
      </c>
      <c r="BQ124" t="s">
        <v>74</v>
      </c>
      <c r="BR124" t="s">
        <v>101</v>
      </c>
      <c r="BS124" t="s">
        <v>2288</v>
      </c>
      <c r="BT124" t="str">
        <f>HYPERLINK("https%3A%2F%2Fwww.webofscience.com%2Fwos%2Fwoscc%2Ffull-record%2FWOS:000240609000007","View Full Record in Web of Science")</f>
        <v>View Full Record in Web of Science</v>
      </c>
    </row>
    <row r="125" spans="1:72" x14ac:dyDescent="0.15">
      <c r="A125" t="s">
        <v>72</v>
      </c>
      <c r="B125" t="s">
        <v>2289</v>
      </c>
      <c r="C125" t="s">
        <v>74</v>
      </c>
      <c r="D125" t="s">
        <v>74</v>
      </c>
      <c r="E125" t="s">
        <v>74</v>
      </c>
      <c r="F125" t="s">
        <v>2290</v>
      </c>
      <c r="G125" t="s">
        <v>74</v>
      </c>
      <c r="H125" t="s">
        <v>74</v>
      </c>
      <c r="I125" t="s">
        <v>2291</v>
      </c>
      <c r="J125" t="s">
        <v>2230</v>
      </c>
      <c r="K125" t="s">
        <v>74</v>
      </c>
      <c r="L125" t="s">
        <v>74</v>
      </c>
      <c r="M125" t="s">
        <v>77</v>
      </c>
      <c r="N125" t="s">
        <v>78</v>
      </c>
      <c r="O125" t="s">
        <v>74</v>
      </c>
      <c r="P125" t="s">
        <v>74</v>
      </c>
      <c r="Q125" t="s">
        <v>74</v>
      </c>
      <c r="R125" t="s">
        <v>74</v>
      </c>
      <c r="S125" t="s">
        <v>74</v>
      </c>
      <c r="T125" t="s">
        <v>74</v>
      </c>
      <c r="U125" t="s">
        <v>2292</v>
      </c>
      <c r="V125" t="s">
        <v>2293</v>
      </c>
      <c r="W125" t="s">
        <v>2294</v>
      </c>
      <c r="X125" t="s">
        <v>2295</v>
      </c>
      <c r="Y125" t="s">
        <v>2296</v>
      </c>
      <c r="Z125" t="s">
        <v>2297</v>
      </c>
      <c r="AA125" t="s">
        <v>2298</v>
      </c>
      <c r="AB125" t="s">
        <v>2299</v>
      </c>
      <c r="AC125" t="s">
        <v>74</v>
      </c>
      <c r="AD125" t="s">
        <v>74</v>
      </c>
      <c r="AE125" t="s">
        <v>74</v>
      </c>
      <c r="AF125" t="s">
        <v>74</v>
      </c>
      <c r="AG125">
        <v>80</v>
      </c>
      <c r="AH125">
        <v>162</v>
      </c>
      <c r="AI125">
        <v>181</v>
      </c>
      <c r="AJ125">
        <v>0</v>
      </c>
      <c r="AK125">
        <v>16</v>
      </c>
      <c r="AL125" t="s">
        <v>2239</v>
      </c>
      <c r="AM125" t="s">
        <v>2111</v>
      </c>
      <c r="AN125" t="s">
        <v>2240</v>
      </c>
      <c r="AO125" t="s">
        <v>2241</v>
      </c>
      <c r="AP125" t="s">
        <v>2242</v>
      </c>
      <c r="AQ125" t="s">
        <v>74</v>
      </c>
      <c r="AR125" t="s">
        <v>2243</v>
      </c>
      <c r="AS125" t="s">
        <v>2244</v>
      </c>
      <c r="AT125" t="s">
        <v>74</v>
      </c>
      <c r="AU125">
        <v>2006</v>
      </c>
      <c r="AV125">
        <v>52</v>
      </c>
      <c r="AW125">
        <v>177</v>
      </c>
      <c r="AX125" t="s">
        <v>74</v>
      </c>
      <c r="AY125" t="s">
        <v>74</v>
      </c>
      <c r="AZ125" t="s">
        <v>74</v>
      </c>
      <c r="BA125" t="s">
        <v>74</v>
      </c>
      <c r="BB125">
        <v>281</v>
      </c>
      <c r="BC125">
        <v>297</v>
      </c>
      <c r="BD125" t="s">
        <v>74</v>
      </c>
      <c r="BE125" t="s">
        <v>2300</v>
      </c>
      <c r="BF125" t="str">
        <f>HYPERLINK("http://dx.doi.org/10.3189/172756506781828746","http://dx.doi.org/10.3189/172756506781828746")</f>
        <v>http://dx.doi.org/10.3189/172756506781828746</v>
      </c>
      <c r="BG125" t="s">
        <v>74</v>
      </c>
      <c r="BH125" t="s">
        <v>74</v>
      </c>
      <c r="BI125">
        <v>17</v>
      </c>
      <c r="BJ125" t="s">
        <v>2246</v>
      </c>
      <c r="BK125" t="s">
        <v>98</v>
      </c>
      <c r="BL125" t="s">
        <v>1531</v>
      </c>
      <c r="BM125" t="s">
        <v>2262</v>
      </c>
      <c r="BN125" t="s">
        <v>74</v>
      </c>
      <c r="BO125" t="s">
        <v>1900</v>
      </c>
      <c r="BP125" t="s">
        <v>74</v>
      </c>
      <c r="BQ125" t="s">
        <v>74</v>
      </c>
      <c r="BR125" t="s">
        <v>101</v>
      </c>
      <c r="BS125" t="s">
        <v>2301</v>
      </c>
      <c r="BT125" t="str">
        <f>HYPERLINK("https%3A%2F%2Fwww.webofscience.com%2Fwos%2Fwoscc%2Ffull-record%2FWOS:000240609000012","View Full Record in Web of Science")</f>
        <v>View Full Record in Web of Science</v>
      </c>
    </row>
    <row r="126" spans="1:72" x14ac:dyDescent="0.15">
      <c r="A126" t="s">
        <v>72</v>
      </c>
      <c r="B126" t="s">
        <v>2302</v>
      </c>
      <c r="C126" t="s">
        <v>74</v>
      </c>
      <c r="D126" t="s">
        <v>74</v>
      </c>
      <c r="E126" t="s">
        <v>74</v>
      </c>
      <c r="F126" t="s">
        <v>2303</v>
      </c>
      <c r="G126" t="s">
        <v>74</v>
      </c>
      <c r="H126" t="s">
        <v>74</v>
      </c>
      <c r="I126" t="s">
        <v>2304</v>
      </c>
      <c r="J126" t="s">
        <v>2230</v>
      </c>
      <c r="K126" t="s">
        <v>74</v>
      </c>
      <c r="L126" t="s">
        <v>74</v>
      </c>
      <c r="M126" t="s">
        <v>77</v>
      </c>
      <c r="N126" t="s">
        <v>78</v>
      </c>
      <c r="O126" t="s">
        <v>74</v>
      </c>
      <c r="P126" t="s">
        <v>74</v>
      </c>
      <c r="Q126" t="s">
        <v>74</v>
      </c>
      <c r="R126" t="s">
        <v>74</v>
      </c>
      <c r="S126" t="s">
        <v>74</v>
      </c>
      <c r="T126" t="s">
        <v>74</v>
      </c>
      <c r="U126" t="s">
        <v>2305</v>
      </c>
      <c r="V126" t="s">
        <v>2306</v>
      </c>
      <c r="W126" t="s">
        <v>801</v>
      </c>
      <c r="X126" t="s">
        <v>788</v>
      </c>
      <c r="Y126" t="s">
        <v>2307</v>
      </c>
      <c r="Z126" t="s">
        <v>2308</v>
      </c>
      <c r="AA126" t="s">
        <v>2309</v>
      </c>
      <c r="AB126" t="s">
        <v>2310</v>
      </c>
      <c r="AC126" t="s">
        <v>74</v>
      </c>
      <c r="AD126" t="s">
        <v>74</v>
      </c>
      <c r="AE126" t="s">
        <v>74</v>
      </c>
      <c r="AF126" t="s">
        <v>74</v>
      </c>
      <c r="AG126">
        <v>42</v>
      </c>
      <c r="AH126">
        <v>70</v>
      </c>
      <c r="AI126">
        <v>78</v>
      </c>
      <c r="AJ126">
        <v>0</v>
      </c>
      <c r="AK126">
        <v>15</v>
      </c>
      <c r="AL126" t="s">
        <v>2239</v>
      </c>
      <c r="AM126" t="s">
        <v>2111</v>
      </c>
      <c r="AN126" t="s">
        <v>2240</v>
      </c>
      <c r="AO126" t="s">
        <v>2241</v>
      </c>
      <c r="AP126" t="s">
        <v>2242</v>
      </c>
      <c r="AQ126" t="s">
        <v>74</v>
      </c>
      <c r="AR126" t="s">
        <v>2243</v>
      </c>
      <c r="AS126" t="s">
        <v>2244</v>
      </c>
      <c r="AT126" t="s">
        <v>74</v>
      </c>
      <c r="AU126">
        <v>2006</v>
      </c>
      <c r="AV126">
        <v>52</v>
      </c>
      <c r="AW126">
        <v>178</v>
      </c>
      <c r="AX126" t="s">
        <v>74</v>
      </c>
      <c r="AY126" t="s">
        <v>74</v>
      </c>
      <c r="AZ126" t="s">
        <v>74</v>
      </c>
      <c r="BA126" t="s">
        <v>74</v>
      </c>
      <c r="BB126">
        <v>325</v>
      </c>
      <c r="BC126">
        <v>346</v>
      </c>
      <c r="BD126" t="s">
        <v>74</v>
      </c>
      <c r="BE126" t="s">
        <v>2311</v>
      </c>
      <c r="BF126" t="str">
        <f>HYPERLINK("http://dx.doi.org/10.3189/172756506781828502","http://dx.doi.org/10.3189/172756506781828502")</f>
        <v>http://dx.doi.org/10.3189/172756506781828502</v>
      </c>
      <c r="BG126" t="s">
        <v>74</v>
      </c>
      <c r="BH126" t="s">
        <v>74</v>
      </c>
      <c r="BI126">
        <v>22</v>
      </c>
      <c r="BJ126" t="s">
        <v>2246</v>
      </c>
      <c r="BK126" t="s">
        <v>98</v>
      </c>
      <c r="BL126" t="s">
        <v>1531</v>
      </c>
      <c r="BM126" t="s">
        <v>2312</v>
      </c>
      <c r="BN126" t="s">
        <v>74</v>
      </c>
      <c r="BO126" t="s">
        <v>1900</v>
      </c>
      <c r="BP126" t="s">
        <v>74</v>
      </c>
      <c r="BQ126" t="s">
        <v>74</v>
      </c>
      <c r="BR126" t="s">
        <v>101</v>
      </c>
      <c r="BS126" t="s">
        <v>2313</v>
      </c>
      <c r="BT126" t="str">
        <f>HYPERLINK("https%3A%2F%2Fwww.webofscience.com%2Fwos%2Fwoscc%2Ffull-record%2FWOS:000243288600001","View Full Record in Web of Science")</f>
        <v>View Full Record in Web of Science</v>
      </c>
    </row>
    <row r="127" spans="1:72" x14ac:dyDescent="0.15">
      <c r="A127" t="s">
        <v>72</v>
      </c>
      <c r="B127" t="s">
        <v>2314</v>
      </c>
      <c r="C127" t="s">
        <v>74</v>
      </c>
      <c r="D127" t="s">
        <v>74</v>
      </c>
      <c r="E127" t="s">
        <v>74</v>
      </c>
      <c r="F127" t="s">
        <v>2315</v>
      </c>
      <c r="G127" t="s">
        <v>74</v>
      </c>
      <c r="H127" t="s">
        <v>74</v>
      </c>
      <c r="I127" t="s">
        <v>2316</v>
      </c>
      <c r="J127" t="s">
        <v>2230</v>
      </c>
      <c r="K127" t="s">
        <v>74</v>
      </c>
      <c r="L127" t="s">
        <v>74</v>
      </c>
      <c r="M127" t="s">
        <v>77</v>
      </c>
      <c r="N127" t="s">
        <v>78</v>
      </c>
      <c r="O127" t="s">
        <v>74</v>
      </c>
      <c r="P127" t="s">
        <v>74</v>
      </c>
      <c r="Q127" t="s">
        <v>74</v>
      </c>
      <c r="R127" t="s">
        <v>74</v>
      </c>
      <c r="S127" t="s">
        <v>74</v>
      </c>
      <c r="T127" t="s">
        <v>74</v>
      </c>
      <c r="U127" t="s">
        <v>2317</v>
      </c>
      <c r="V127" t="s">
        <v>2318</v>
      </c>
      <c r="W127" t="s">
        <v>2319</v>
      </c>
      <c r="X127" t="s">
        <v>2320</v>
      </c>
      <c r="Y127" t="s">
        <v>2321</v>
      </c>
      <c r="Z127" t="s">
        <v>2322</v>
      </c>
      <c r="AA127" t="s">
        <v>74</v>
      </c>
      <c r="AB127" t="s">
        <v>2323</v>
      </c>
      <c r="AC127" t="s">
        <v>2324</v>
      </c>
      <c r="AD127" t="s">
        <v>2325</v>
      </c>
      <c r="AE127" t="s">
        <v>74</v>
      </c>
      <c r="AF127" t="s">
        <v>74</v>
      </c>
      <c r="AG127">
        <v>35</v>
      </c>
      <c r="AH127">
        <v>45</v>
      </c>
      <c r="AI127">
        <v>61</v>
      </c>
      <c r="AJ127">
        <v>0</v>
      </c>
      <c r="AK127">
        <v>6</v>
      </c>
      <c r="AL127" t="s">
        <v>2326</v>
      </c>
      <c r="AM127" t="s">
        <v>2111</v>
      </c>
      <c r="AN127" t="s">
        <v>2327</v>
      </c>
      <c r="AO127" t="s">
        <v>2241</v>
      </c>
      <c r="AP127" t="s">
        <v>74</v>
      </c>
      <c r="AQ127" t="s">
        <v>74</v>
      </c>
      <c r="AR127" t="s">
        <v>2243</v>
      </c>
      <c r="AS127" t="s">
        <v>2244</v>
      </c>
      <c r="AT127" t="s">
        <v>74</v>
      </c>
      <c r="AU127">
        <v>2006</v>
      </c>
      <c r="AV127">
        <v>52</v>
      </c>
      <c r="AW127">
        <v>178</v>
      </c>
      <c r="AX127" t="s">
        <v>74</v>
      </c>
      <c r="AY127" t="s">
        <v>74</v>
      </c>
      <c r="AZ127" t="s">
        <v>74</v>
      </c>
      <c r="BA127" t="s">
        <v>74</v>
      </c>
      <c r="BB127">
        <v>451</v>
      </c>
      <c r="BC127">
        <v>462</v>
      </c>
      <c r="BD127" t="s">
        <v>74</v>
      </c>
      <c r="BE127" t="s">
        <v>2328</v>
      </c>
      <c r="BF127" t="str">
        <f>HYPERLINK("http://dx.doi.org/10.3189/172756506781828511","http://dx.doi.org/10.3189/172756506781828511")</f>
        <v>http://dx.doi.org/10.3189/172756506781828511</v>
      </c>
      <c r="BG127" t="s">
        <v>74</v>
      </c>
      <c r="BH127" t="s">
        <v>74</v>
      </c>
      <c r="BI127">
        <v>12</v>
      </c>
      <c r="BJ127" t="s">
        <v>2246</v>
      </c>
      <c r="BK127" t="s">
        <v>98</v>
      </c>
      <c r="BL127" t="s">
        <v>1531</v>
      </c>
      <c r="BM127" t="s">
        <v>2312</v>
      </c>
      <c r="BN127" t="s">
        <v>74</v>
      </c>
      <c r="BO127" t="s">
        <v>1900</v>
      </c>
      <c r="BP127" t="s">
        <v>74</v>
      </c>
      <c r="BQ127" t="s">
        <v>74</v>
      </c>
      <c r="BR127" t="s">
        <v>101</v>
      </c>
      <c r="BS127" t="s">
        <v>2329</v>
      </c>
      <c r="BT127" t="str">
        <f>HYPERLINK("https%3A%2F%2Fwww.webofscience.com%2Fwos%2Fwoscc%2Ffull-record%2FWOS:000243288600013","View Full Record in Web of Science")</f>
        <v>View Full Record in Web of Science</v>
      </c>
    </row>
    <row r="128" spans="1:72" x14ac:dyDescent="0.15">
      <c r="A128" t="s">
        <v>72</v>
      </c>
      <c r="B128" t="s">
        <v>2330</v>
      </c>
      <c r="C128" t="s">
        <v>74</v>
      </c>
      <c r="D128" t="s">
        <v>74</v>
      </c>
      <c r="E128" t="s">
        <v>74</v>
      </c>
      <c r="F128" t="s">
        <v>2331</v>
      </c>
      <c r="G128" t="s">
        <v>74</v>
      </c>
      <c r="H128" t="s">
        <v>74</v>
      </c>
      <c r="I128" t="s">
        <v>2332</v>
      </c>
      <c r="J128" t="s">
        <v>2230</v>
      </c>
      <c r="K128" t="s">
        <v>74</v>
      </c>
      <c r="L128" t="s">
        <v>74</v>
      </c>
      <c r="M128" t="s">
        <v>77</v>
      </c>
      <c r="N128" t="s">
        <v>78</v>
      </c>
      <c r="O128" t="s">
        <v>74</v>
      </c>
      <c r="P128" t="s">
        <v>74</v>
      </c>
      <c r="Q128" t="s">
        <v>74</v>
      </c>
      <c r="R128" t="s">
        <v>74</v>
      </c>
      <c r="S128" t="s">
        <v>74</v>
      </c>
      <c r="T128" t="s">
        <v>74</v>
      </c>
      <c r="U128" t="s">
        <v>2333</v>
      </c>
      <c r="V128" t="s">
        <v>2334</v>
      </c>
      <c r="W128" t="s">
        <v>2335</v>
      </c>
      <c r="X128" t="s">
        <v>2336</v>
      </c>
      <c r="Y128" t="s">
        <v>2337</v>
      </c>
      <c r="Z128" t="s">
        <v>2338</v>
      </c>
      <c r="AA128" t="s">
        <v>2339</v>
      </c>
      <c r="AB128" t="s">
        <v>2340</v>
      </c>
      <c r="AC128" t="s">
        <v>2341</v>
      </c>
      <c r="AD128" t="s">
        <v>735</v>
      </c>
      <c r="AE128" t="s">
        <v>74</v>
      </c>
      <c r="AF128" t="s">
        <v>74</v>
      </c>
      <c r="AG128">
        <v>40</v>
      </c>
      <c r="AH128">
        <v>27</v>
      </c>
      <c r="AI128">
        <v>30</v>
      </c>
      <c r="AJ128">
        <v>0</v>
      </c>
      <c r="AK128">
        <v>4</v>
      </c>
      <c r="AL128" t="s">
        <v>2239</v>
      </c>
      <c r="AM128" t="s">
        <v>2111</v>
      </c>
      <c r="AN128" t="s">
        <v>2240</v>
      </c>
      <c r="AO128" t="s">
        <v>2241</v>
      </c>
      <c r="AP128" t="s">
        <v>2242</v>
      </c>
      <c r="AQ128" t="s">
        <v>74</v>
      </c>
      <c r="AR128" t="s">
        <v>2243</v>
      </c>
      <c r="AS128" t="s">
        <v>2244</v>
      </c>
      <c r="AT128" t="s">
        <v>74</v>
      </c>
      <c r="AU128">
        <v>2006</v>
      </c>
      <c r="AV128">
        <v>52</v>
      </c>
      <c r="AW128">
        <v>179</v>
      </c>
      <c r="AX128" t="s">
        <v>74</v>
      </c>
      <c r="AY128" t="s">
        <v>74</v>
      </c>
      <c r="AZ128" t="s">
        <v>74</v>
      </c>
      <c r="BA128" t="s">
        <v>74</v>
      </c>
      <c r="BB128">
        <v>481</v>
      </c>
      <c r="BC128">
        <v>490</v>
      </c>
      <c r="BD128" t="s">
        <v>74</v>
      </c>
      <c r="BE128" t="s">
        <v>2342</v>
      </c>
      <c r="BF128" t="str">
        <f>HYPERLINK("http://dx.doi.org/10.3189/172756506781828467","http://dx.doi.org/10.3189/172756506781828467")</f>
        <v>http://dx.doi.org/10.3189/172756506781828467</v>
      </c>
      <c r="BG128" t="s">
        <v>74</v>
      </c>
      <c r="BH128" t="s">
        <v>74</v>
      </c>
      <c r="BI128">
        <v>10</v>
      </c>
      <c r="BJ128" t="s">
        <v>2246</v>
      </c>
      <c r="BK128" t="s">
        <v>98</v>
      </c>
      <c r="BL128" t="s">
        <v>1531</v>
      </c>
      <c r="BM128" t="s">
        <v>2343</v>
      </c>
      <c r="BN128" t="s">
        <v>74</v>
      </c>
      <c r="BO128" t="s">
        <v>1900</v>
      </c>
      <c r="BP128" t="s">
        <v>74</v>
      </c>
      <c r="BQ128" t="s">
        <v>74</v>
      </c>
      <c r="BR128" t="s">
        <v>101</v>
      </c>
      <c r="BS128" t="s">
        <v>2344</v>
      </c>
      <c r="BT128" t="str">
        <f>HYPERLINK("https%3A%2F%2Fwww.webofscience.com%2Fwos%2Fwoscc%2Ffull-record%2FWOS:000244472100001","View Full Record in Web of Science")</f>
        <v>View Full Record in Web of Science</v>
      </c>
    </row>
    <row r="129" spans="1:72" x14ac:dyDescent="0.15">
      <c r="A129" t="s">
        <v>72</v>
      </c>
      <c r="B129" t="s">
        <v>2345</v>
      </c>
      <c r="C129" t="s">
        <v>74</v>
      </c>
      <c r="D129" t="s">
        <v>74</v>
      </c>
      <c r="E129" t="s">
        <v>74</v>
      </c>
      <c r="F129" t="s">
        <v>2346</v>
      </c>
      <c r="G129" t="s">
        <v>74</v>
      </c>
      <c r="H129" t="s">
        <v>74</v>
      </c>
      <c r="I129" t="s">
        <v>2347</v>
      </c>
      <c r="J129" t="s">
        <v>2230</v>
      </c>
      <c r="K129" t="s">
        <v>74</v>
      </c>
      <c r="L129" t="s">
        <v>74</v>
      </c>
      <c r="M129" t="s">
        <v>77</v>
      </c>
      <c r="N129" t="s">
        <v>78</v>
      </c>
      <c r="O129" t="s">
        <v>74</v>
      </c>
      <c r="P129" t="s">
        <v>74</v>
      </c>
      <c r="Q129" t="s">
        <v>74</v>
      </c>
      <c r="R129" t="s">
        <v>74</v>
      </c>
      <c r="S129" t="s">
        <v>74</v>
      </c>
      <c r="T129" t="s">
        <v>74</v>
      </c>
      <c r="U129" t="s">
        <v>2348</v>
      </c>
      <c r="V129" t="s">
        <v>2349</v>
      </c>
      <c r="W129" t="s">
        <v>2350</v>
      </c>
      <c r="X129" t="s">
        <v>2351</v>
      </c>
      <c r="Y129" t="s">
        <v>2352</v>
      </c>
      <c r="Z129" t="s">
        <v>2353</v>
      </c>
      <c r="AA129" t="s">
        <v>2354</v>
      </c>
      <c r="AB129" t="s">
        <v>74</v>
      </c>
      <c r="AC129" t="s">
        <v>2355</v>
      </c>
      <c r="AD129" t="s">
        <v>735</v>
      </c>
      <c r="AE129" t="s">
        <v>74</v>
      </c>
      <c r="AF129" t="s">
        <v>74</v>
      </c>
      <c r="AG129">
        <v>19</v>
      </c>
      <c r="AH129">
        <v>22</v>
      </c>
      <c r="AI129">
        <v>26</v>
      </c>
      <c r="AJ129">
        <v>0</v>
      </c>
      <c r="AK129">
        <v>2</v>
      </c>
      <c r="AL129" t="s">
        <v>2239</v>
      </c>
      <c r="AM129" t="s">
        <v>2111</v>
      </c>
      <c r="AN129" t="s">
        <v>2240</v>
      </c>
      <c r="AO129" t="s">
        <v>2241</v>
      </c>
      <c r="AP129" t="s">
        <v>2242</v>
      </c>
      <c r="AQ129" t="s">
        <v>74</v>
      </c>
      <c r="AR129" t="s">
        <v>2243</v>
      </c>
      <c r="AS129" t="s">
        <v>2244</v>
      </c>
      <c r="AT129" t="s">
        <v>74</v>
      </c>
      <c r="AU129">
        <v>2006</v>
      </c>
      <c r="AV129">
        <v>52</v>
      </c>
      <c r="AW129">
        <v>179</v>
      </c>
      <c r="AX129" t="s">
        <v>74</v>
      </c>
      <c r="AY129" t="s">
        <v>74</v>
      </c>
      <c r="AZ129" t="s">
        <v>74</v>
      </c>
      <c r="BA129" t="s">
        <v>74</v>
      </c>
      <c r="BB129">
        <v>491</v>
      </c>
      <c r="BC129">
        <v>496</v>
      </c>
      <c r="BD129" t="s">
        <v>74</v>
      </c>
      <c r="BE129" t="s">
        <v>2356</v>
      </c>
      <c r="BF129" t="str">
        <f>HYPERLINK("http://dx.doi.org/10.3189/172756506781828368","http://dx.doi.org/10.3189/172756506781828368")</f>
        <v>http://dx.doi.org/10.3189/172756506781828368</v>
      </c>
      <c r="BG129" t="s">
        <v>74</v>
      </c>
      <c r="BH129" t="s">
        <v>74</v>
      </c>
      <c r="BI129">
        <v>6</v>
      </c>
      <c r="BJ129" t="s">
        <v>2246</v>
      </c>
      <c r="BK129" t="s">
        <v>98</v>
      </c>
      <c r="BL129" t="s">
        <v>1531</v>
      </c>
      <c r="BM129" t="s">
        <v>2343</v>
      </c>
      <c r="BN129" t="s">
        <v>74</v>
      </c>
      <c r="BO129" t="s">
        <v>1900</v>
      </c>
      <c r="BP129" t="s">
        <v>74</v>
      </c>
      <c r="BQ129" t="s">
        <v>74</v>
      </c>
      <c r="BR129" t="s">
        <v>101</v>
      </c>
      <c r="BS129" t="s">
        <v>2357</v>
      </c>
      <c r="BT129" t="str">
        <f>HYPERLINK("https%3A%2F%2Fwww.webofscience.com%2Fwos%2Fwoscc%2Ffull-record%2FWOS:000244472100002","View Full Record in Web of Science")</f>
        <v>View Full Record in Web of Science</v>
      </c>
    </row>
    <row r="130" spans="1:72" x14ac:dyDescent="0.15">
      <c r="A130" t="s">
        <v>72</v>
      </c>
      <c r="B130" t="s">
        <v>2358</v>
      </c>
      <c r="C130" t="s">
        <v>74</v>
      </c>
      <c r="D130" t="s">
        <v>74</v>
      </c>
      <c r="E130" t="s">
        <v>74</v>
      </c>
      <c r="F130" t="s">
        <v>2359</v>
      </c>
      <c r="G130" t="s">
        <v>74</v>
      </c>
      <c r="H130" t="s">
        <v>74</v>
      </c>
      <c r="I130" t="s">
        <v>2360</v>
      </c>
      <c r="J130" t="s">
        <v>2230</v>
      </c>
      <c r="K130" t="s">
        <v>74</v>
      </c>
      <c r="L130" t="s">
        <v>74</v>
      </c>
      <c r="M130" t="s">
        <v>77</v>
      </c>
      <c r="N130" t="s">
        <v>2361</v>
      </c>
      <c r="O130" t="s">
        <v>74</v>
      </c>
      <c r="P130" t="s">
        <v>74</v>
      </c>
      <c r="Q130" t="s">
        <v>74</v>
      </c>
      <c r="R130" t="s">
        <v>74</v>
      </c>
      <c r="S130" t="s">
        <v>74</v>
      </c>
      <c r="T130" t="s">
        <v>74</v>
      </c>
      <c r="U130" t="s">
        <v>2362</v>
      </c>
      <c r="V130" t="s">
        <v>74</v>
      </c>
      <c r="W130" t="s">
        <v>2363</v>
      </c>
      <c r="X130" t="s">
        <v>2364</v>
      </c>
      <c r="Y130" t="s">
        <v>2365</v>
      </c>
      <c r="Z130" t="s">
        <v>2366</v>
      </c>
      <c r="AA130" t="s">
        <v>2367</v>
      </c>
      <c r="AB130" t="s">
        <v>2368</v>
      </c>
      <c r="AC130" t="s">
        <v>74</v>
      </c>
      <c r="AD130" t="s">
        <v>74</v>
      </c>
      <c r="AE130" t="s">
        <v>74</v>
      </c>
      <c r="AF130" t="s">
        <v>74</v>
      </c>
      <c r="AG130">
        <v>10</v>
      </c>
      <c r="AH130">
        <v>0</v>
      </c>
      <c r="AI130">
        <v>0</v>
      </c>
      <c r="AJ130">
        <v>0</v>
      </c>
      <c r="AK130">
        <v>1</v>
      </c>
      <c r="AL130" t="s">
        <v>2326</v>
      </c>
      <c r="AM130" t="s">
        <v>2111</v>
      </c>
      <c r="AN130" t="s">
        <v>2327</v>
      </c>
      <c r="AO130" t="s">
        <v>2241</v>
      </c>
      <c r="AP130" t="s">
        <v>74</v>
      </c>
      <c r="AQ130" t="s">
        <v>74</v>
      </c>
      <c r="AR130" t="s">
        <v>2243</v>
      </c>
      <c r="AS130" t="s">
        <v>2244</v>
      </c>
      <c r="AT130" t="s">
        <v>74</v>
      </c>
      <c r="AU130">
        <v>2006</v>
      </c>
      <c r="AV130">
        <v>52</v>
      </c>
      <c r="AW130">
        <v>179</v>
      </c>
      <c r="AX130" t="s">
        <v>74</v>
      </c>
      <c r="AY130" t="s">
        <v>74</v>
      </c>
      <c r="AZ130" t="s">
        <v>74</v>
      </c>
      <c r="BA130" t="s">
        <v>74</v>
      </c>
      <c r="BB130">
        <v>645</v>
      </c>
      <c r="BC130">
        <v>648</v>
      </c>
      <c r="BD130" t="s">
        <v>74</v>
      </c>
      <c r="BE130" t="s">
        <v>2369</v>
      </c>
      <c r="BF130" t="str">
        <f>HYPERLINK("http://dx.doi.org/10.3189/172756506781828331","http://dx.doi.org/10.3189/172756506781828331")</f>
        <v>http://dx.doi.org/10.3189/172756506781828331</v>
      </c>
      <c r="BG130" t="s">
        <v>74</v>
      </c>
      <c r="BH130" t="s">
        <v>74</v>
      </c>
      <c r="BI130">
        <v>4</v>
      </c>
      <c r="BJ130" t="s">
        <v>2246</v>
      </c>
      <c r="BK130" t="s">
        <v>98</v>
      </c>
      <c r="BL130" t="s">
        <v>1531</v>
      </c>
      <c r="BM130" t="s">
        <v>2343</v>
      </c>
      <c r="BN130" t="s">
        <v>74</v>
      </c>
      <c r="BO130" t="s">
        <v>1900</v>
      </c>
      <c r="BP130" t="s">
        <v>74</v>
      </c>
      <c r="BQ130" t="s">
        <v>74</v>
      </c>
      <c r="BR130" t="s">
        <v>101</v>
      </c>
      <c r="BS130" t="s">
        <v>2370</v>
      </c>
      <c r="BT130" t="str">
        <f>HYPERLINK("https%3A%2F%2Fwww.webofscience.com%2Fwos%2Fwoscc%2Ffull-record%2FWOS:000244472100015","View Full Record in Web of Science")</f>
        <v>View Full Record in Web of Science</v>
      </c>
    </row>
    <row r="131" spans="1:72" x14ac:dyDescent="0.15">
      <c r="A131" t="s">
        <v>72</v>
      </c>
      <c r="B131" t="s">
        <v>2371</v>
      </c>
      <c r="C131" t="s">
        <v>74</v>
      </c>
      <c r="D131" t="s">
        <v>74</v>
      </c>
      <c r="E131" t="s">
        <v>74</v>
      </c>
      <c r="F131" t="s">
        <v>2372</v>
      </c>
      <c r="G131" t="s">
        <v>74</v>
      </c>
      <c r="H131" t="s">
        <v>74</v>
      </c>
      <c r="I131" t="s">
        <v>2373</v>
      </c>
      <c r="J131" t="s">
        <v>2374</v>
      </c>
      <c r="K131" t="s">
        <v>74</v>
      </c>
      <c r="L131" t="s">
        <v>74</v>
      </c>
      <c r="M131" t="s">
        <v>77</v>
      </c>
      <c r="N131" t="s">
        <v>78</v>
      </c>
      <c r="O131" t="s">
        <v>74</v>
      </c>
      <c r="P131" t="s">
        <v>74</v>
      </c>
      <c r="Q131" t="s">
        <v>74</v>
      </c>
      <c r="R131" t="s">
        <v>74</v>
      </c>
      <c r="S131" t="s">
        <v>74</v>
      </c>
      <c r="T131" t="s">
        <v>74</v>
      </c>
      <c r="U131" t="s">
        <v>74</v>
      </c>
      <c r="V131" t="s">
        <v>2375</v>
      </c>
      <c r="W131" t="s">
        <v>2376</v>
      </c>
      <c r="X131" t="s">
        <v>2377</v>
      </c>
      <c r="Y131" t="s">
        <v>2378</v>
      </c>
      <c r="Z131" t="s">
        <v>74</v>
      </c>
      <c r="AA131" t="s">
        <v>74</v>
      </c>
      <c r="AB131" t="s">
        <v>74</v>
      </c>
      <c r="AC131" t="s">
        <v>74</v>
      </c>
      <c r="AD131" t="s">
        <v>74</v>
      </c>
      <c r="AE131" t="s">
        <v>74</v>
      </c>
      <c r="AF131" t="s">
        <v>74</v>
      </c>
      <c r="AG131">
        <v>35</v>
      </c>
      <c r="AH131">
        <v>3</v>
      </c>
      <c r="AI131">
        <v>5</v>
      </c>
      <c r="AJ131">
        <v>0</v>
      </c>
      <c r="AK131">
        <v>0</v>
      </c>
      <c r="AL131" t="s">
        <v>2379</v>
      </c>
      <c r="AM131" t="s">
        <v>2380</v>
      </c>
      <c r="AN131" t="s">
        <v>2381</v>
      </c>
      <c r="AO131" t="s">
        <v>2382</v>
      </c>
      <c r="AP131" t="s">
        <v>74</v>
      </c>
      <c r="AQ131" t="s">
        <v>74</v>
      </c>
      <c r="AR131" t="s">
        <v>2383</v>
      </c>
      <c r="AS131" t="s">
        <v>2384</v>
      </c>
      <c r="AT131" t="s">
        <v>95</v>
      </c>
      <c r="AU131">
        <v>2006</v>
      </c>
      <c r="AV131">
        <v>10</v>
      </c>
      <c r="AW131">
        <v>1</v>
      </c>
      <c r="AX131" t="s">
        <v>74</v>
      </c>
      <c r="AY131" t="s">
        <v>74</v>
      </c>
      <c r="AZ131" t="s">
        <v>74</v>
      </c>
      <c r="BA131" t="s">
        <v>74</v>
      </c>
      <c r="BB131">
        <v>15</v>
      </c>
      <c r="BC131">
        <v>24</v>
      </c>
      <c r="BD131" t="s">
        <v>74</v>
      </c>
      <c r="BE131" t="s">
        <v>74</v>
      </c>
      <c r="BF131" t="s">
        <v>74</v>
      </c>
      <c r="BG131" t="s">
        <v>74</v>
      </c>
      <c r="BH131" t="s">
        <v>74</v>
      </c>
      <c r="BI131">
        <v>10</v>
      </c>
      <c r="BJ131" t="s">
        <v>1348</v>
      </c>
      <c r="BK131" t="s">
        <v>1219</v>
      </c>
      <c r="BL131" t="s">
        <v>1348</v>
      </c>
      <c r="BM131" t="s">
        <v>2385</v>
      </c>
      <c r="BN131" t="s">
        <v>74</v>
      </c>
      <c r="BO131" t="s">
        <v>74</v>
      </c>
      <c r="BP131" t="s">
        <v>74</v>
      </c>
      <c r="BQ131" t="s">
        <v>74</v>
      </c>
      <c r="BR131" t="s">
        <v>101</v>
      </c>
      <c r="BS131" t="s">
        <v>2386</v>
      </c>
      <c r="BT131" t="str">
        <f>HYPERLINK("https%3A%2F%2Fwww.webofscience.com%2Fwos%2Fwoscc%2Ffull-record%2FWOS:000421620300002","View Full Record in Web of Science")</f>
        <v>View Full Record in Web of Science</v>
      </c>
    </row>
    <row r="132" spans="1:72" x14ac:dyDescent="0.15">
      <c r="A132" t="s">
        <v>72</v>
      </c>
      <c r="B132" t="s">
        <v>2387</v>
      </c>
      <c r="C132" t="s">
        <v>74</v>
      </c>
      <c r="D132" t="s">
        <v>74</v>
      </c>
      <c r="E132" t="s">
        <v>74</v>
      </c>
      <c r="F132" t="s">
        <v>2387</v>
      </c>
      <c r="G132" t="s">
        <v>74</v>
      </c>
      <c r="H132" t="s">
        <v>74</v>
      </c>
      <c r="I132" t="s">
        <v>2388</v>
      </c>
      <c r="J132" t="s">
        <v>2389</v>
      </c>
      <c r="K132" t="s">
        <v>74</v>
      </c>
      <c r="L132" t="s">
        <v>74</v>
      </c>
      <c r="M132" t="s">
        <v>77</v>
      </c>
      <c r="N132" t="s">
        <v>78</v>
      </c>
      <c r="O132" t="s">
        <v>74</v>
      </c>
      <c r="P132" t="s">
        <v>74</v>
      </c>
      <c r="Q132" t="s">
        <v>74</v>
      </c>
      <c r="R132" t="s">
        <v>74</v>
      </c>
      <c r="S132" t="s">
        <v>74</v>
      </c>
      <c r="T132" t="s">
        <v>2390</v>
      </c>
      <c r="U132" t="s">
        <v>2391</v>
      </c>
      <c r="V132" t="s">
        <v>2392</v>
      </c>
      <c r="W132" t="s">
        <v>2393</v>
      </c>
      <c r="X132" t="s">
        <v>2394</v>
      </c>
      <c r="Y132" t="s">
        <v>2395</v>
      </c>
      <c r="Z132" t="s">
        <v>2396</v>
      </c>
      <c r="AA132" t="s">
        <v>2397</v>
      </c>
      <c r="AB132" t="s">
        <v>2398</v>
      </c>
      <c r="AC132" t="s">
        <v>74</v>
      </c>
      <c r="AD132" t="s">
        <v>74</v>
      </c>
      <c r="AE132" t="s">
        <v>74</v>
      </c>
      <c r="AF132" t="s">
        <v>74</v>
      </c>
      <c r="AG132">
        <v>99</v>
      </c>
      <c r="AH132">
        <v>65</v>
      </c>
      <c r="AI132">
        <v>73</v>
      </c>
      <c r="AJ132">
        <v>2</v>
      </c>
      <c r="AK132">
        <v>30</v>
      </c>
      <c r="AL132" t="s">
        <v>622</v>
      </c>
      <c r="AM132" t="s">
        <v>140</v>
      </c>
      <c r="AN132" t="s">
        <v>623</v>
      </c>
      <c r="AO132" t="s">
        <v>2399</v>
      </c>
      <c r="AP132" t="s">
        <v>2400</v>
      </c>
      <c r="AQ132" t="s">
        <v>74</v>
      </c>
      <c r="AR132" t="s">
        <v>2401</v>
      </c>
      <c r="AS132" t="s">
        <v>2402</v>
      </c>
      <c r="AT132" t="s">
        <v>95</v>
      </c>
      <c r="AU132">
        <v>2006</v>
      </c>
      <c r="AV132">
        <v>52</v>
      </c>
      <c r="AW132">
        <v>1</v>
      </c>
      <c r="AX132" t="s">
        <v>74</v>
      </c>
      <c r="AY132" t="s">
        <v>74</v>
      </c>
      <c r="AZ132" t="s">
        <v>74</v>
      </c>
      <c r="BA132" t="s">
        <v>74</v>
      </c>
      <c r="BB132">
        <v>29</v>
      </c>
      <c r="BC132">
        <v>50</v>
      </c>
      <c r="BD132" t="s">
        <v>74</v>
      </c>
      <c r="BE132" t="s">
        <v>2403</v>
      </c>
      <c r="BF132" t="str">
        <f>HYPERLINK("http://dx.doi.org/10.1016/j.jinsphys.2005.09.002","http://dx.doi.org/10.1016/j.jinsphys.2005.09.002")</f>
        <v>http://dx.doi.org/10.1016/j.jinsphys.2005.09.002</v>
      </c>
      <c r="BG132" t="s">
        <v>74</v>
      </c>
      <c r="BH132" t="s">
        <v>74</v>
      </c>
      <c r="BI132">
        <v>22</v>
      </c>
      <c r="BJ132" t="s">
        <v>2404</v>
      </c>
      <c r="BK132" t="s">
        <v>98</v>
      </c>
      <c r="BL132" t="s">
        <v>2404</v>
      </c>
      <c r="BM132" t="s">
        <v>2405</v>
      </c>
      <c r="BN132">
        <v>16246360</v>
      </c>
      <c r="BO132" t="s">
        <v>74</v>
      </c>
      <c r="BP132" t="s">
        <v>74</v>
      </c>
      <c r="BQ132" t="s">
        <v>74</v>
      </c>
      <c r="BR132" t="s">
        <v>101</v>
      </c>
      <c r="BS132" t="s">
        <v>2406</v>
      </c>
      <c r="BT132" t="str">
        <f>HYPERLINK("https%3A%2F%2Fwww.webofscience.com%2Fwos%2Fwoscc%2Ffull-record%2FWOS:000235245400004","View Full Record in Web of Science")</f>
        <v>View Full Record in Web of Science</v>
      </c>
    </row>
    <row r="133" spans="1:72" x14ac:dyDescent="0.15">
      <c r="A133" t="s">
        <v>72</v>
      </c>
      <c r="B133" t="s">
        <v>2407</v>
      </c>
      <c r="C133" t="s">
        <v>74</v>
      </c>
      <c r="D133" t="s">
        <v>74</v>
      </c>
      <c r="E133" t="s">
        <v>74</v>
      </c>
      <c r="F133" t="s">
        <v>2407</v>
      </c>
      <c r="G133" t="s">
        <v>74</v>
      </c>
      <c r="H133" t="s">
        <v>74</v>
      </c>
      <c r="I133" t="s">
        <v>2408</v>
      </c>
      <c r="J133" t="s">
        <v>2409</v>
      </c>
      <c r="K133" t="s">
        <v>74</v>
      </c>
      <c r="L133" t="s">
        <v>74</v>
      </c>
      <c r="M133" t="s">
        <v>77</v>
      </c>
      <c r="N133" t="s">
        <v>78</v>
      </c>
      <c r="O133" t="s">
        <v>74</v>
      </c>
      <c r="P133" t="s">
        <v>74</v>
      </c>
      <c r="Q133" t="s">
        <v>74</v>
      </c>
      <c r="R133" t="s">
        <v>74</v>
      </c>
      <c r="S133" t="s">
        <v>74</v>
      </c>
      <c r="T133" t="s">
        <v>2410</v>
      </c>
      <c r="U133" t="s">
        <v>2411</v>
      </c>
      <c r="V133" t="s">
        <v>2412</v>
      </c>
      <c r="W133" t="s">
        <v>2413</v>
      </c>
      <c r="X133" t="s">
        <v>2414</v>
      </c>
      <c r="Y133" t="s">
        <v>2415</v>
      </c>
      <c r="Z133" t="s">
        <v>2416</v>
      </c>
      <c r="AA133" t="s">
        <v>2417</v>
      </c>
      <c r="AB133" t="s">
        <v>2418</v>
      </c>
      <c r="AC133" t="s">
        <v>2419</v>
      </c>
      <c r="AD133" t="s">
        <v>2420</v>
      </c>
      <c r="AE133" t="s">
        <v>74</v>
      </c>
      <c r="AF133" t="s">
        <v>74</v>
      </c>
      <c r="AG133">
        <v>62</v>
      </c>
      <c r="AH133">
        <v>5</v>
      </c>
      <c r="AI133">
        <v>5</v>
      </c>
      <c r="AJ133">
        <v>0</v>
      </c>
      <c r="AK133">
        <v>13</v>
      </c>
      <c r="AL133" t="s">
        <v>2025</v>
      </c>
      <c r="AM133" t="s">
        <v>2026</v>
      </c>
      <c r="AN133" t="s">
        <v>2027</v>
      </c>
      <c r="AO133" t="s">
        <v>2421</v>
      </c>
      <c r="AP133" t="s">
        <v>2422</v>
      </c>
      <c r="AQ133" t="s">
        <v>74</v>
      </c>
      <c r="AR133" t="s">
        <v>2423</v>
      </c>
      <c r="AS133" t="s">
        <v>2424</v>
      </c>
      <c r="AT133" t="s">
        <v>95</v>
      </c>
      <c r="AU133">
        <v>2006</v>
      </c>
      <c r="AV133">
        <v>267</v>
      </c>
      <c r="AW133">
        <v>1</v>
      </c>
      <c r="AX133" t="s">
        <v>74</v>
      </c>
      <c r="AY133" t="s">
        <v>74</v>
      </c>
      <c r="AZ133" t="s">
        <v>74</v>
      </c>
      <c r="BA133" t="s">
        <v>74</v>
      </c>
      <c r="BB133">
        <v>115</v>
      </c>
      <c r="BC133">
        <v>127</v>
      </c>
      <c r="BD133" t="s">
        <v>74</v>
      </c>
      <c r="BE133" t="s">
        <v>2425</v>
      </c>
      <c r="BF133" t="str">
        <f>HYPERLINK("http://dx.doi.org/10.1002/jmor.10391","http://dx.doi.org/10.1002/jmor.10391")</f>
        <v>http://dx.doi.org/10.1002/jmor.10391</v>
      </c>
      <c r="BG133" t="s">
        <v>74</v>
      </c>
      <c r="BH133" t="s">
        <v>74</v>
      </c>
      <c r="BI133">
        <v>13</v>
      </c>
      <c r="BJ133" t="s">
        <v>2426</v>
      </c>
      <c r="BK133" t="s">
        <v>98</v>
      </c>
      <c r="BL133" t="s">
        <v>2426</v>
      </c>
      <c r="BM133" t="s">
        <v>2427</v>
      </c>
      <c r="BN133">
        <v>16270315</v>
      </c>
      <c r="BO133" t="s">
        <v>74</v>
      </c>
      <c r="BP133" t="s">
        <v>74</v>
      </c>
      <c r="BQ133" t="s">
        <v>74</v>
      </c>
      <c r="BR133" t="s">
        <v>101</v>
      </c>
      <c r="BS133" t="s">
        <v>2428</v>
      </c>
      <c r="BT133" t="str">
        <f>HYPERLINK("https%3A%2F%2Fwww.webofscience.com%2Fwos%2Fwoscc%2Ffull-record%2FWOS:000234156800008","View Full Record in Web of Science")</f>
        <v>View Full Record in Web of Science</v>
      </c>
    </row>
    <row r="134" spans="1:72" x14ac:dyDescent="0.15">
      <c r="A134" t="s">
        <v>72</v>
      </c>
      <c r="B134" t="s">
        <v>2429</v>
      </c>
      <c r="C134" t="s">
        <v>74</v>
      </c>
      <c r="D134" t="s">
        <v>74</v>
      </c>
      <c r="E134" t="s">
        <v>74</v>
      </c>
      <c r="F134" t="s">
        <v>2429</v>
      </c>
      <c r="G134" t="s">
        <v>74</v>
      </c>
      <c r="H134" t="s">
        <v>74</v>
      </c>
      <c r="I134" t="s">
        <v>2430</v>
      </c>
      <c r="J134" t="s">
        <v>2431</v>
      </c>
      <c r="K134" t="s">
        <v>74</v>
      </c>
      <c r="L134" t="s">
        <v>74</v>
      </c>
      <c r="M134" t="s">
        <v>77</v>
      </c>
      <c r="N134" t="s">
        <v>78</v>
      </c>
      <c r="O134" t="s">
        <v>74</v>
      </c>
      <c r="P134" t="s">
        <v>74</v>
      </c>
      <c r="Q134" t="s">
        <v>74</v>
      </c>
      <c r="R134" t="s">
        <v>74</v>
      </c>
      <c r="S134" t="s">
        <v>74</v>
      </c>
      <c r="T134" t="s">
        <v>2432</v>
      </c>
      <c r="U134" t="s">
        <v>74</v>
      </c>
      <c r="V134" t="s">
        <v>2433</v>
      </c>
      <c r="W134" t="s">
        <v>2434</v>
      </c>
      <c r="X134" t="s">
        <v>2435</v>
      </c>
      <c r="Y134" t="s">
        <v>2436</v>
      </c>
      <c r="Z134" t="s">
        <v>2437</v>
      </c>
      <c r="AA134" t="s">
        <v>2438</v>
      </c>
      <c r="AB134" t="s">
        <v>2439</v>
      </c>
      <c r="AC134" t="s">
        <v>74</v>
      </c>
      <c r="AD134" t="s">
        <v>74</v>
      </c>
      <c r="AE134" t="s">
        <v>74</v>
      </c>
      <c r="AF134" t="s">
        <v>74</v>
      </c>
      <c r="AG134">
        <v>49</v>
      </c>
      <c r="AH134">
        <v>17</v>
      </c>
      <c r="AI134">
        <v>17</v>
      </c>
      <c r="AJ134">
        <v>0</v>
      </c>
      <c r="AK134">
        <v>6</v>
      </c>
      <c r="AL134" t="s">
        <v>348</v>
      </c>
      <c r="AM134" t="s">
        <v>349</v>
      </c>
      <c r="AN134" t="s">
        <v>1523</v>
      </c>
      <c r="AO134" t="s">
        <v>2440</v>
      </c>
      <c r="AP134" t="s">
        <v>2441</v>
      </c>
      <c r="AQ134" t="s">
        <v>74</v>
      </c>
      <c r="AR134" t="s">
        <v>2442</v>
      </c>
      <c r="AS134" t="s">
        <v>2443</v>
      </c>
      <c r="AT134" t="s">
        <v>74</v>
      </c>
      <c r="AU134">
        <v>2006</v>
      </c>
      <c r="AV134">
        <v>40</v>
      </c>
      <c r="AW134" t="s">
        <v>485</v>
      </c>
      <c r="AX134" t="s">
        <v>74</v>
      </c>
      <c r="AY134" t="s">
        <v>74</v>
      </c>
      <c r="AZ134" t="s">
        <v>74</v>
      </c>
      <c r="BA134" t="s">
        <v>74</v>
      </c>
      <c r="BB134">
        <v>33</v>
      </c>
      <c r="BC134">
        <v>75</v>
      </c>
      <c r="BD134" t="s">
        <v>74</v>
      </c>
      <c r="BE134" t="s">
        <v>2444</v>
      </c>
      <c r="BF134" t="str">
        <f>HYPERLINK("http://dx.doi.org/10.1080/00222930500445044","http://dx.doi.org/10.1080/00222930500445044")</f>
        <v>http://dx.doi.org/10.1080/00222930500445044</v>
      </c>
      <c r="BG134" t="s">
        <v>74</v>
      </c>
      <c r="BH134" t="s">
        <v>74</v>
      </c>
      <c r="BI134">
        <v>43</v>
      </c>
      <c r="BJ134" t="s">
        <v>2445</v>
      </c>
      <c r="BK134" t="s">
        <v>98</v>
      </c>
      <c r="BL134" t="s">
        <v>2446</v>
      </c>
      <c r="BM134" t="s">
        <v>2447</v>
      </c>
      <c r="BN134" t="s">
        <v>74</v>
      </c>
      <c r="BO134" t="s">
        <v>534</v>
      </c>
      <c r="BP134" t="s">
        <v>74</v>
      </c>
      <c r="BQ134" t="s">
        <v>74</v>
      </c>
      <c r="BR134" t="s">
        <v>101</v>
      </c>
      <c r="BS134" t="s">
        <v>2448</v>
      </c>
      <c r="BT134" t="str">
        <f>HYPERLINK("https%3A%2F%2Fwww.webofscience.com%2Fwos%2Fwoscc%2Ffull-record%2FWOS:000237105100004","View Full Record in Web of Science")</f>
        <v>View Full Record in Web of Science</v>
      </c>
    </row>
    <row r="135" spans="1:72" x14ac:dyDescent="0.15">
      <c r="A135" t="s">
        <v>72</v>
      </c>
      <c r="B135" t="s">
        <v>2449</v>
      </c>
      <c r="C135" t="s">
        <v>74</v>
      </c>
      <c r="D135" t="s">
        <v>74</v>
      </c>
      <c r="E135" t="s">
        <v>74</v>
      </c>
      <c r="F135" t="s">
        <v>2450</v>
      </c>
      <c r="G135" t="s">
        <v>74</v>
      </c>
      <c r="H135" t="s">
        <v>74</v>
      </c>
      <c r="I135" t="s">
        <v>2451</v>
      </c>
      <c r="J135" t="s">
        <v>2431</v>
      </c>
      <c r="K135" t="s">
        <v>74</v>
      </c>
      <c r="L135" t="s">
        <v>74</v>
      </c>
      <c r="M135" t="s">
        <v>77</v>
      </c>
      <c r="N135" t="s">
        <v>78</v>
      </c>
      <c r="O135" t="s">
        <v>74</v>
      </c>
      <c r="P135" t="s">
        <v>74</v>
      </c>
      <c r="Q135" t="s">
        <v>74</v>
      </c>
      <c r="R135" t="s">
        <v>74</v>
      </c>
      <c r="S135" t="s">
        <v>74</v>
      </c>
      <c r="T135" t="s">
        <v>2452</v>
      </c>
      <c r="U135" t="s">
        <v>74</v>
      </c>
      <c r="V135" t="s">
        <v>2453</v>
      </c>
      <c r="W135" t="s">
        <v>2454</v>
      </c>
      <c r="X135" t="s">
        <v>2455</v>
      </c>
      <c r="Y135" t="s">
        <v>2456</v>
      </c>
      <c r="Z135" t="s">
        <v>2457</v>
      </c>
      <c r="AA135" t="s">
        <v>2458</v>
      </c>
      <c r="AB135" t="s">
        <v>2459</v>
      </c>
      <c r="AC135" t="s">
        <v>74</v>
      </c>
      <c r="AD135" t="s">
        <v>74</v>
      </c>
      <c r="AE135" t="s">
        <v>74</v>
      </c>
      <c r="AF135" t="s">
        <v>74</v>
      </c>
      <c r="AG135">
        <v>58</v>
      </c>
      <c r="AH135">
        <v>6</v>
      </c>
      <c r="AI135">
        <v>7</v>
      </c>
      <c r="AJ135">
        <v>0</v>
      </c>
      <c r="AK135">
        <v>4</v>
      </c>
      <c r="AL135" t="s">
        <v>348</v>
      </c>
      <c r="AM135" t="s">
        <v>349</v>
      </c>
      <c r="AN135" t="s">
        <v>350</v>
      </c>
      <c r="AO135" t="s">
        <v>2440</v>
      </c>
      <c r="AP135" t="s">
        <v>74</v>
      </c>
      <c r="AQ135" t="s">
        <v>74</v>
      </c>
      <c r="AR135" t="s">
        <v>2442</v>
      </c>
      <c r="AS135" t="s">
        <v>2443</v>
      </c>
      <c r="AT135" t="s">
        <v>74</v>
      </c>
      <c r="AU135">
        <v>2006</v>
      </c>
      <c r="AV135">
        <v>40</v>
      </c>
      <c r="AW135" t="s">
        <v>2460</v>
      </c>
      <c r="AX135" t="s">
        <v>74</v>
      </c>
      <c r="AY135" t="s">
        <v>74</v>
      </c>
      <c r="AZ135" t="s">
        <v>74</v>
      </c>
      <c r="BA135" t="s">
        <v>74</v>
      </c>
      <c r="BB135">
        <v>503</v>
      </c>
      <c r="BC135">
        <v>521</v>
      </c>
      <c r="BD135" t="s">
        <v>74</v>
      </c>
      <c r="BE135" t="s">
        <v>2461</v>
      </c>
      <c r="BF135" t="str">
        <f>HYPERLINK("http://dx.doi.org/10.1080/00222930600727291","http://dx.doi.org/10.1080/00222930600727291")</f>
        <v>http://dx.doi.org/10.1080/00222930600727291</v>
      </c>
      <c r="BG135" t="s">
        <v>74</v>
      </c>
      <c r="BH135" t="s">
        <v>74</v>
      </c>
      <c r="BI135">
        <v>19</v>
      </c>
      <c r="BJ135" t="s">
        <v>2445</v>
      </c>
      <c r="BK135" t="s">
        <v>98</v>
      </c>
      <c r="BL135" t="s">
        <v>2446</v>
      </c>
      <c r="BM135" t="s">
        <v>2462</v>
      </c>
      <c r="BN135" t="s">
        <v>74</v>
      </c>
      <c r="BO135" t="s">
        <v>534</v>
      </c>
      <c r="BP135" t="s">
        <v>74</v>
      </c>
      <c r="BQ135" t="s">
        <v>74</v>
      </c>
      <c r="BR135" t="s">
        <v>101</v>
      </c>
      <c r="BS135" t="s">
        <v>2463</v>
      </c>
      <c r="BT135" t="str">
        <f>HYPERLINK("https%3A%2F%2Fwww.webofscience.com%2Fwos%2Fwoscc%2Ffull-record%2FWOS:000239237100002","View Full Record in Web of Science")</f>
        <v>View Full Record in Web of Science</v>
      </c>
    </row>
    <row r="136" spans="1:72" x14ac:dyDescent="0.15">
      <c r="A136" t="s">
        <v>72</v>
      </c>
      <c r="B136" t="s">
        <v>2464</v>
      </c>
      <c r="C136" t="s">
        <v>74</v>
      </c>
      <c r="D136" t="s">
        <v>74</v>
      </c>
      <c r="E136" t="s">
        <v>74</v>
      </c>
      <c r="F136" t="s">
        <v>2464</v>
      </c>
      <c r="G136" t="s">
        <v>74</v>
      </c>
      <c r="H136" t="s">
        <v>74</v>
      </c>
      <c r="I136" t="s">
        <v>2465</v>
      </c>
      <c r="J136" t="s">
        <v>2466</v>
      </c>
      <c r="K136" t="s">
        <v>74</v>
      </c>
      <c r="L136" t="s">
        <v>74</v>
      </c>
      <c r="M136" t="s">
        <v>77</v>
      </c>
      <c r="N136" t="s">
        <v>78</v>
      </c>
      <c r="O136" t="s">
        <v>74</v>
      </c>
      <c r="P136" t="s">
        <v>74</v>
      </c>
      <c r="Q136" t="s">
        <v>74</v>
      </c>
      <c r="R136" t="s">
        <v>74</v>
      </c>
      <c r="S136" t="s">
        <v>74</v>
      </c>
      <c r="T136" t="s">
        <v>74</v>
      </c>
      <c r="U136" t="s">
        <v>2467</v>
      </c>
      <c r="V136" t="s">
        <v>2468</v>
      </c>
      <c r="W136" t="s">
        <v>2469</v>
      </c>
      <c r="X136" t="s">
        <v>2470</v>
      </c>
      <c r="Y136" t="s">
        <v>2471</v>
      </c>
      <c r="Z136" t="s">
        <v>2472</v>
      </c>
      <c r="AA136" t="s">
        <v>2473</v>
      </c>
      <c r="AB136" t="s">
        <v>2474</v>
      </c>
      <c r="AC136" t="s">
        <v>74</v>
      </c>
      <c r="AD136" t="s">
        <v>74</v>
      </c>
      <c r="AE136" t="s">
        <v>74</v>
      </c>
      <c r="AF136" t="s">
        <v>74</v>
      </c>
      <c r="AG136">
        <v>50</v>
      </c>
      <c r="AH136">
        <v>66</v>
      </c>
      <c r="AI136">
        <v>73</v>
      </c>
      <c r="AJ136">
        <v>0</v>
      </c>
      <c r="AK136">
        <v>15</v>
      </c>
      <c r="AL136" t="s">
        <v>2475</v>
      </c>
      <c r="AM136" t="s">
        <v>1460</v>
      </c>
      <c r="AN136" t="s">
        <v>2476</v>
      </c>
      <c r="AO136" t="s">
        <v>2477</v>
      </c>
      <c r="AP136" t="s">
        <v>74</v>
      </c>
      <c r="AQ136" t="s">
        <v>74</v>
      </c>
      <c r="AR136" t="s">
        <v>2478</v>
      </c>
      <c r="AS136" t="s">
        <v>2479</v>
      </c>
      <c r="AT136" t="s">
        <v>95</v>
      </c>
      <c r="AU136">
        <v>2006</v>
      </c>
      <c r="AV136">
        <v>119</v>
      </c>
      <c r="AW136">
        <v>1</v>
      </c>
      <c r="AX136" t="s">
        <v>74</v>
      </c>
      <c r="AY136" t="s">
        <v>74</v>
      </c>
      <c r="AZ136" t="s">
        <v>74</v>
      </c>
      <c r="BA136" t="s">
        <v>74</v>
      </c>
      <c r="BB136">
        <v>232</v>
      </c>
      <c r="BC136">
        <v>242</v>
      </c>
      <c r="BD136" t="s">
        <v>74</v>
      </c>
      <c r="BE136" t="s">
        <v>2480</v>
      </c>
      <c r="BF136" t="str">
        <f>HYPERLINK("http://dx.doi.org/10.1121/1.2141229","http://dx.doi.org/10.1121/1.2141229")</f>
        <v>http://dx.doi.org/10.1121/1.2141229</v>
      </c>
      <c r="BG136" t="s">
        <v>74</v>
      </c>
      <c r="BH136" t="s">
        <v>74</v>
      </c>
      <c r="BI136">
        <v>11</v>
      </c>
      <c r="BJ136" t="s">
        <v>2481</v>
      </c>
      <c r="BK136" t="s">
        <v>98</v>
      </c>
      <c r="BL136" t="s">
        <v>2481</v>
      </c>
      <c r="BM136" t="s">
        <v>2482</v>
      </c>
      <c r="BN136">
        <v>16454279</v>
      </c>
      <c r="BO136" t="s">
        <v>722</v>
      </c>
      <c r="BP136" t="s">
        <v>74</v>
      </c>
      <c r="BQ136" t="s">
        <v>74</v>
      </c>
      <c r="BR136" t="s">
        <v>101</v>
      </c>
      <c r="BS136" t="s">
        <v>2483</v>
      </c>
      <c r="BT136" t="str">
        <f>HYPERLINK("https%3A%2F%2Fwww.webofscience.com%2Fwos%2Fwoscc%2Ffull-record%2FWOS:000234612600021","View Full Record in Web of Science")</f>
        <v>View Full Record in Web of Science</v>
      </c>
    </row>
    <row r="137" spans="1:72" x14ac:dyDescent="0.15">
      <c r="A137" t="s">
        <v>72</v>
      </c>
      <c r="B137" t="s">
        <v>2484</v>
      </c>
      <c r="C137" t="s">
        <v>74</v>
      </c>
      <c r="D137" t="s">
        <v>74</v>
      </c>
      <c r="E137" t="s">
        <v>74</v>
      </c>
      <c r="F137" t="s">
        <v>2484</v>
      </c>
      <c r="G137" t="s">
        <v>74</v>
      </c>
      <c r="H137" t="s">
        <v>74</v>
      </c>
      <c r="I137" t="s">
        <v>2485</v>
      </c>
      <c r="J137" t="s">
        <v>2486</v>
      </c>
      <c r="K137" t="s">
        <v>74</v>
      </c>
      <c r="L137" t="s">
        <v>74</v>
      </c>
      <c r="M137" t="s">
        <v>77</v>
      </c>
      <c r="N137" t="s">
        <v>78</v>
      </c>
      <c r="O137" t="s">
        <v>74</v>
      </c>
      <c r="P137" t="s">
        <v>74</v>
      </c>
      <c r="Q137" t="s">
        <v>74</v>
      </c>
      <c r="R137" t="s">
        <v>74</v>
      </c>
      <c r="S137" t="s">
        <v>74</v>
      </c>
      <c r="T137" t="s">
        <v>74</v>
      </c>
      <c r="U137" t="s">
        <v>2487</v>
      </c>
      <c r="V137" t="s">
        <v>2488</v>
      </c>
      <c r="W137" t="s">
        <v>2489</v>
      </c>
      <c r="X137" t="s">
        <v>2490</v>
      </c>
      <c r="Y137" t="s">
        <v>2491</v>
      </c>
      <c r="Z137" t="s">
        <v>2492</v>
      </c>
      <c r="AA137" t="s">
        <v>2493</v>
      </c>
      <c r="AB137" t="s">
        <v>2494</v>
      </c>
      <c r="AC137" t="s">
        <v>74</v>
      </c>
      <c r="AD137" t="s">
        <v>74</v>
      </c>
      <c r="AE137" t="s">
        <v>74</v>
      </c>
      <c r="AF137" t="s">
        <v>74</v>
      </c>
      <c r="AG137">
        <v>46</v>
      </c>
      <c r="AH137">
        <v>41</v>
      </c>
      <c r="AI137">
        <v>46</v>
      </c>
      <c r="AJ137">
        <v>0</v>
      </c>
      <c r="AK137">
        <v>1</v>
      </c>
      <c r="AL137" t="s">
        <v>2495</v>
      </c>
      <c r="AM137" t="s">
        <v>1844</v>
      </c>
      <c r="AN137" t="s">
        <v>2496</v>
      </c>
      <c r="AO137" t="s">
        <v>2497</v>
      </c>
      <c r="AP137" t="s">
        <v>2498</v>
      </c>
      <c r="AQ137" t="s">
        <v>74</v>
      </c>
      <c r="AR137" t="s">
        <v>2499</v>
      </c>
      <c r="AS137" t="s">
        <v>2500</v>
      </c>
      <c r="AT137" t="s">
        <v>95</v>
      </c>
      <c r="AU137">
        <v>2006</v>
      </c>
      <c r="AV137">
        <v>163</v>
      </c>
      <c r="AW137" t="s">
        <v>74</v>
      </c>
      <c r="AX137">
        <v>1</v>
      </c>
      <c r="AY137" t="s">
        <v>74</v>
      </c>
      <c r="AZ137" t="s">
        <v>74</v>
      </c>
      <c r="BA137" t="s">
        <v>74</v>
      </c>
      <c r="BB137">
        <v>119</v>
      </c>
      <c r="BC137">
        <v>126</v>
      </c>
      <c r="BD137" t="s">
        <v>74</v>
      </c>
      <c r="BE137" t="s">
        <v>2501</v>
      </c>
      <c r="BF137" t="str">
        <f>HYPERLINK("http://dx.doi.org/10.1144/0016-764905-005","http://dx.doi.org/10.1144/0016-764905-005")</f>
        <v>http://dx.doi.org/10.1144/0016-764905-005</v>
      </c>
      <c r="BG137" t="s">
        <v>74</v>
      </c>
      <c r="BH137" t="s">
        <v>74</v>
      </c>
      <c r="BI137">
        <v>8</v>
      </c>
      <c r="BJ137" t="s">
        <v>1129</v>
      </c>
      <c r="BK137" t="s">
        <v>98</v>
      </c>
      <c r="BL137" t="s">
        <v>1130</v>
      </c>
      <c r="BM137" t="s">
        <v>2502</v>
      </c>
      <c r="BN137" t="s">
        <v>74</v>
      </c>
      <c r="BO137" t="s">
        <v>74</v>
      </c>
      <c r="BP137" t="s">
        <v>74</v>
      </c>
      <c r="BQ137" t="s">
        <v>74</v>
      </c>
      <c r="BR137" t="s">
        <v>101</v>
      </c>
      <c r="BS137" t="s">
        <v>2503</v>
      </c>
      <c r="BT137" t="str">
        <f>HYPERLINK("https%3A%2F%2Fwww.webofscience.com%2Fwos%2Fwoscc%2Ffull-record%2FWOS:000234308300011","View Full Record in Web of Science")</f>
        <v>View Full Record in Web of Science</v>
      </c>
    </row>
    <row r="138" spans="1:72" x14ac:dyDescent="0.15">
      <c r="A138" t="s">
        <v>72</v>
      </c>
      <c r="B138" t="s">
        <v>2504</v>
      </c>
      <c r="C138" t="s">
        <v>74</v>
      </c>
      <c r="D138" t="s">
        <v>74</v>
      </c>
      <c r="E138" t="s">
        <v>74</v>
      </c>
      <c r="F138" t="s">
        <v>2505</v>
      </c>
      <c r="G138" t="s">
        <v>74</v>
      </c>
      <c r="H138" t="s">
        <v>74</v>
      </c>
      <c r="I138" t="s">
        <v>2506</v>
      </c>
      <c r="J138" t="s">
        <v>2507</v>
      </c>
      <c r="K138" t="s">
        <v>74</v>
      </c>
      <c r="L138" t="s">
        <v>74</v>
      </c>
      <c r="M138" t="s">
        <v>77</v>
      </c>
      <c r="N138" t="s">
        <v>289</v>
      </c>
      <c r="O138" t="s">
        <v>74</v>
      </c>
      <c r="P138" t="s">
        <v>74</v>
      </c>
      <c r="Q138" t="s">
        <v>74</v>
      </c>
      <c r="R138" t="s">
        <v>74</v>
      </c>
      <c r="S138" t="s">
        <v>74</v>
      </c>
      <c r="T138" t="s">
        <v>2508</v>
      </c>
      <c r="U138" t="s">
        <v>2509</v>
      </c>
      <c r="V138" t="s">
        <v>2510</v>
      </c>
      <c r="W138" t="s">
        <v>2511</v>
      </c>
      <c r="X138" t="s">
        <v>2512</v>
      </c>
      <c r="Y138" t="s">
        <v>2513</v>
      </c>
      <c r="Z138" t="s">
        <v>2514</v>
      </c>
      <c r="AA138" t="s">
        <v>74</v>
      </c>
      <c r="AB138" t="s">
        <v>2515</v>
      </c>
      <c r="AC138" t="s">
        <v>74</v>
      </c>
      <c r="AD138" t="s">
        <v>74</v>
      </c>
      <c r="AE138" t="s">
        <v>74</v>
      </c>
      <c r="AF138" t="s">
        <v>74</v>
      </c>
      <c r="AG138">
        <v>111</v>
      </c>
      <c r="AH138">
        <v>20</v>
      </c>
      <c r="AI138">
        <v>23</v>
      </c>
      <c r="AJ138">
        <v>1</v>
      </c>
      <c r="AK138">
        <v>10</v>
      </c>
      <c r="AL138" t="s">
        <v>2516</v>
      </c>
      <c r="AM138" t="s">
        <v>2517</v>
      </c>
      <c r="AN138" t="s">
        <v>2518</v>
      </c>
      <c r="AO138" t="s">
        <v>2519</v>
      </c>
      <c r="AP138" t="s">
        <v>2520</v>
      </c>
      <c r="AQ138" t="s">
        <v>74</v>
      </c>
      <c r="AR138" t="s">
        <v>2521</v>
      </c>
      <c r="AS138" t="s">
        <v>2522</v>
      </c>
      <c r="AT138" t="s">
        <v>2209</v>
      </c>
      <c r="AU138">
        <v>2006</v>
      </c>
      <c r="AV138">
        <v>133</v>
      </c>
      <c r="AW138">
        <v>1</v>
      </c>
      <c r="AX138" t="s">
        <v>74</v>
      </c>
      <c r="AY138" t="s">
        <v>74</v>
      </c>
      <c r="AZ138" t="s">
        <v>74</v>
      </c>
      <c r="BA138" t="s">
        <v>74</v>
      </c>
      <c r="BB138">
        <v>46</v>
      </c>
      <c r="BC138">
        <v>61</v>
      </c>
      <c r="BD138" t="s">
        <v>74</v>
      </c>
      <c r="BE138" t="s">
        <v>2523</v>
      </c>
      <c r="BF138" t="str">
        <f>HYPERLINK("http://dx.doi.org/10.3159/1095-5674(2006)133[46:TSOSPR]2.0.CO;2","http://dx.doi.org/10.3159/1095-5674(2006)133[46:TSOSPR]2.0.CO;2")</f>
        <v>http://dx.doi.org/10.3159/1095-5674(2006)133[46:TSOSPR]2.0.CO;2</v>
      </c>
      <c r="BG138" t="s">
        <v>74</v>
      </c>
      <c r="BH138" t="s">
        <v>74</v>
      </c>
      <c r="BI138">
        <v>16</v>
      </c>
      <c r="BJ138" t="s">
        <v>574</v>
      </c>
      <c r="BK138" t="s">
        <v>98</v>
      </c>
      <c r="BL138" t="s">
        <v>574</v>
      </c>
      <c r="BM138" t="s">
        <v>2524</v>
      </c>
      <c r="BN138" t="s">
        <v>74</v>
      </c>
      <c r="BO138" t="s">
        <v>74</v>
      </c>
      <c r="BP138" t="s">
        <v>74</v>
      </c>
      <c r="BQ138" t="s">
        <v>74</v>
      </c>
      <c r="BR138" t="s">
        <v>101</v>
      </c>
      <c r="BS138" t="s">
        <v>2525</v>
      </c>
      <c r="BT138" t="str">
        <f>HYPERLINK("https%3A%2F%2Fwww.webofscience.com%2Fwos%2Fwoscc%2Ffull-record%2FWOS:000237642600006","View Full Record in Web of Science")</f>
        <v>View Full Record in Web of Science</v>
      </c>
    </row>
    <row r="139" spans="1:72" x14ac:dyDescent="0.15">
      <c r="A139" t="s">
        <v>297</v>
      </c>
      <c r="B139" t="s">
        <v>2526</v>
      </c>
      <c r="C139" t="s">
        <v>74</v>
      </c>
      <c r="D139" t="s">
        <v>2527</v>
      </c>
      <c r="E139" t="s">
        <v>74</v>
      </c>
      <c r="F139" t="s">
        <v>2528</v>
      </c>
      <c r="G139" t="s">
        <v>74</v>
      </c>
      <c r="H139" t="s">
        <v>74</v>
      </c>
      <c r="I139" t="s">
        <v>2529</v>
      </c>
      <c r="J139" t="s">
        <v>2530</v>
      </c>
      <c r="K139" t="s">
        <v>74</v>
      </c>
      <c r="L139" t="s">
        <v>74</v>
      </c>
      <c r="M139" t="s">
        <v>77</v>
      </c>
      <c r="N139" t="s">
        <v>304</v>
      </c>
      <c r="O139" t="s">
        <v>2531</v>
      </c>
      <c r="P139" t="s">
        <v>2532</v>
      </c>
      <c r="Q139" t="s">
        <v>2533</v>
      </c>
      <c r="R139" t="s">
        <v>74</v>
      </c>
      <c r="S139" t="s">
        <v>74</v>
      </c>
      <c r="T139" t="s">
        <v>74</v>
      </c>
      <c r="U139" t="s">
        <v>2534</v>
      </c>
      <c r="V139" t="s">
        <v>74</v>
      </c>
      <c r="W139" t="s">
        <v>2535</v>
      </c>
      <c r="X139" t="s">
        <v>2536</v>
      </c>
      <c r="Y139" t="s">
        <v>2537</v>
      </c>
      <c r="Z139" t="s">
        <v>74</v>
      </c>
      <c r="AA139" t="s">
        <v>2538</v>
      </c>
      <c r="AB139" t="s">
        <v>2539</v>
      </c>
      <c r="AC139" t="s">
        <v>74</v>
      </c>
      <c r="AD139" t="s">
        <v>74</v>
      </c>
      <c r="AE139" t="s">
        <v>74</v>
      </c>
      <c r="AF139" t="s">
        <v>74</v>
      </c>
      <c r="AG139">
        <v>9</v>
      </c>
      <c r="AH139">
        <v>1</v>
      </c>
      <c r="AI139">
        <v>1</v>
      </c>
      <c r="AJ139">
        <v>0</v>
      </c>
      <c r="AK139">
        <v>0</v>
      </c>
      <c r="AL139" t="s">
        <v>2540</v>
      </c>
      <c r="AM139" t="s">
        <v>2541</v>
      </c>
      <c r="AN139" t="s">
        <v>2542</v>
      </c>
      <c r="AO139" t="s">
        <v>74</v>
      </c>
      <c r="AP139" t="s">
        <v>74</v>
      </c>
      <c r="AQ139" t="s">
        <v>2543</v>
      </c>
      <c r="AR139" t="s">
        <v>74</v>
      </c>
      <c r="AS139" t="s">
        <v>74</v>
      </c>
      <c r="AT139" t="s">
        <v>74</v>
      </c>
      <c r="AU139">
        <v>2006</v>
      </c>
      <c r="AV139" t="s">
        <v>74</v>
      </c>
      <c r="AW139" t="s">
        <v>74</v>
      </c>
      <c r="AX139" t="s">
        <v>74</v>
      </c>
      <c r="AY139" t="s">
        <v>74</v>
      </c>
      <c r="AZ139" t="s">
        <v>74</v>
      </c>
      <c r="BA139" t="s">
        <v>74</v>
      </c>
      <c r="BB139">
        <v>417</v>
      </c>
      <c r="BC139" t="s">
        <v>1059</v>
      </c>
      <c r="BD139" t="s">
        <v>74</v>
      </c>
      <c r="BE139" t="s">
        <v>74</v>
      </c>
      <c r="BF139" t="s">
        <v>74</v>
      </c>
      <c r="BG139" t="s">
        <v>74</v>
      </c>
      <c r="BH139" t="s">
        <v>74</v>
      </c>
      <c r="BI139">
        <v>2</v>
      </c>
      <c r="BJ139" t="s">
        <v>2544</v>
      </c>
      <c r="BK139" t="s">
        <v>328</v>
      </c>
      <c r="BL139" t="s">
        <v>2544</v>
      </c>
      <c r="BM139" t="s">
        <v>2545</v>
      </c>
      <c r="BN139" t="s">
        <v>74</v>
      </c>
      <c r="BO139" t="s">
        <v>74</v>
      </c>
      <c r="BP139" t="s">
        <v>74</v>
      </c>
      <c r="BQ139" t="s">
        <v>74</v>
      </c>
      <c r="BR139" t="s">
        <v>101</v>
      </c>
      <c r="BS139" t="s">
        <v>2546</v>
      </c>
      <c r="BT139" t="str">
        <f>HYPERLINK("https%3A%2F%2Fwww.webofscience.com%2Fwos%2Fwoscc%2Ffull-record%2FWOS:000244175400098","View Full Record in Web of Science")</f>
        <v>View Full Record in Web of Science</v>
      </c>
    </row>
    <row r="140" spans="1:72" x14ac:dyDescent="0.15">
      <c r="A140" t="s">
        <v>72</v>
      </c>
      <c r="B140" t="s">
        <v>2547</v>
      </c>
      <c r="C140" t="s">
        <v>74</v>
      </c>
      <c r="D140" t="s">
        <v>74</v>
      </c>
      <c r="E140" t="s">
        <v>74</v>
      </c>
      <c r="F140" t="s">
        <v>2547</v>
      </c>
      <c r="G140" t="s">
        <v>74</v>
      </c>
      <c r="H140" t="s">
        <v>74</v>
      </c>
      <c r="I140" t="s">
        <v>2548</v>
      </c>
      <c r="J140" t="s">
        <v>2549</v>
      </c>
      <c r="K140" t="s">
        <v>74</v>
      </c>
      <c r="L140" t="s">
        <v>74</v>
      </c>
      <c r="M140" t="s">
        <v>77</v>
      </c>
      <c r="N140" t="s">
        <v>78</v>
      </c>
      <c r="O140" t="s">
        <v>74</v>
      </c>
      <c r="P140" t="s">
        <v>74</v>
      </c>
      <c r="Q140" t="s">
        <v>74</v>
      </c>
      <c r="R140" t="s">
        <v>74</v>
      </c>
      <c r="S140" t="s">
        <v>74</v>
      </c>
      <c r="T140" t="s">
        <v>2550</v>
      </c>
      <c r="U140" t="s">
        <v>2551</v>
      </c>
      <c r="V140" t="s">
        <v>2552</v>
      </c>
      <c r="W140" t="s">
        <v>2553</v>
      </c>
      <c r="X140" t="s">
        <v>2554</v>
      </c>
      <c r="Y140" t="s">
        <v>2555</v>
      </c>
      <c r="Z140" t="s">
        <v>74</v>
      </c>
      <c r="AA140" t="s">
        <v>2556</v>
      </c>
      <c r="AB140" t="s">
        <v>2557</v>
      </c>
      <c r="AC140" t="s">
        <v>74</v>
      </c>
      <c r="AD140" t="s">
        <v>74</v>
      </c>
      <c r="AE140" t="s">
        <v>74</v>
      </c>
      <c r="AF140" t="s">
        <v>74</v>
      </c>
      <c r="AG140">
        <v>53</v>
      </c>
      <c r="AH140">
        <v>23</v>
      </c>
      <c r="AI140">
        <v>25</v>
      </c>
      <c r="AJ140">
        <v>0</v>
      </c>
      <c r="AK140">
        <v>9</v>
      </c>
      <c r="AL140" t="s">
        <v>2239</v>
      </c>
      <c r="AM140" t="s">
        <v>2111</v>
      </c>
      <c r="AN140" t="s">
        <v>2240</v>
      </c>
      <c r="AO140" t="s">
        <v>2558</v>
      </c>
      <c r="AP140" t="s">
        <v>2559</v>
      </c>
      <c r="AQ140" t="s">
        <v>74</v>
      </c>
      <c r="AR140" t="s">
        <v>2549</v>
      </c>
      <c r="AS140" t="s">
        <v>2560</v>
      </c>
      <c r="AT140" t="s">
        <v>74</v>
      </c>
      <c r="AU140">
        <v>2006</v>
      </c>
      <c r="AV140">
        <v>38</v>
      </c>
      <c r="AW140" t="s">
        <v>74</v>
      </c>
      <c r="AX140">
        <v>1</v>
      </c>
      <c r="AY140" t="s">
        <v>74</v>
      </c>
      <c r="AZ140" t="s">
        <v>74</v>
      </c>
      <c r="BA140" t="s">
        <v>74</v>
      </c>
      <c r="BB140">
        <v>67</v>
      </c>
      <c r="BC140">
        <v>81</v>
      </c>
      <c r="BD140" t="s">
        <v>74</v>
      </c>
      <c r="BE140" t="s">
        <v>2561</v>
      </c>
      <c r="BF140" t="str">
        <f>HYPERLINK("http://dx.doi.org/10.1017/S0024282905005384","http://dx.doi.org/10.1017/S0024282905005384")</f>
        <v>http://dx.doi.org/10.1017/S0024282905005384</v>
      </c>
      <c r="BG140" t="s">
        <v>74</v>
      </c>
      <c r="BH140" t="s">
        <v>74</v>
      </c>
      <c r="BI140">
        <v>15</v>
      </c>
      <c r="BJ140" t="s">
        <v>2562</v>
      </c>
      <c r="BK140" t="s">
        <v>98</v>
      </c>
      <c r="BL140" t="s">
        <v>2562</v>
      </c>
      <c r="BM140" t="s">
        <v>2563</v>
      </c>
      <c r="BN140" t="s">
        <v>74</v>
      </c>
      <c r="BO140" t="s">
        <v>534</v>
      </c>
      <c r="BP140" t="s">
        <v>74</v>
      </c>
      <c r="BQ140" t="s">
        <v>74</v>
      </c>
      <c r="BR140" t="s">
        <v>101</v>
      </c>
      <c r="BS140" t="s">
        <v>2564</v>
      </c>
      <c r="BT140" t="str">
        <f>HYPERLINK("https%3A%2F%2Fwww.webofscience.com%2Fwos%2Fwoscc%2Ffull-record%2FWOS:000234734600007","View Full Record in Web of Science")</f>
        <v>View Full Record in Web of Science</v>
      </c>
    </row>
    <row r="141" spans="1:72" x14ac:dyDescent="0.15">
      <c r="A141" t="s">
        <v>72</v>
      </c>
      <c r="B141" t="s">
        <v>2565</v>
      </c>
      <c r="C141" t="s">
        <v>74</v>
      </c>
      <c r="D141" t="s">
        <v>74</v>
      </c>
      <c r="E141" t="s">
        <v>74</v>
      </c>
      <c r="F141" t="s">
        <v>2565</v>
      </c>
      <c r="G141" t="s">
        <v>74</v>
      </c>
      <c r="H141" t="s">
        <v>74</v>
      </c>
      <c r="I141" t="s">
        <v>2566</v>
      </c>
      <c r="J141" t="s">
        <v>2549</v>
      </c>
      <c r="K141" t="s">
        <v>74</v>
      </c>
      <c r="L141" t="s">
        <v>74</v>
      </c>
      <c r="M141" t="s">
        <v>77</v>
      </c>
      <c r="N141" t="s">
        <v>78</v>
      </c>
      <c r="O141" t="s">
        <v>74</v>
      </c>
      <c r="P141" t="s">
        <v>74</v>
      </c>
      <c r="Q141" t="s">
        <v>74</v>
      </c>
      <c r="R141" t="s">
        <v>74</v>
      </c>
      <c r="S141" t="s">
        <v>74</v>
      </c>
      <c r="T141" t="s">
        <v>2567</v>
      </c>
      <c r="U141" t="s">
        <v>2568</v>
      </c>
      <c r="V141" t="s">
        <v>2569</v>
      </c>
      <c r="W141" t="s">
        <v>2570</v>
      </c>
      <c r="X141" t="s">
        <v>274</v>
      </c>
      <c r="Y141" t="s">
        <v>2571</v>
      </c>
      <c r="Z141" t="s">
        <v>74</v>
      </c>
      <c r="AA141" t="s">
        <v>74</v>
      </c>
      <c r="AB141" t="s">
        <v>74</v>
      </c>
      <c r="AC141" t="s">
        <v>74</v>
      </c>
      <c r="AD141" t="s">
        <v>74</v>
      </c>
      <c r="AE141" t="s">
        <v>74</v>
      </c>
      <c r="AF141" t="s">
        <v>74</v>
      </c>
      <c r="AG141">
        <v>12</v>
      </c>
      <c r="AH141">
        <v>9</v>
      </c>
      <c r="AI141">
        <v>10</v>
      </c>
      <c r="AJ141">
        <v>0</v>
      </c>
      <c r="AK141">
        <v>0</v>
      </c>
      <c r="AL141" t="s">
        <v>2239</v>
      </c>
      <c r="AM141" t="s">
        <v>2111</v>
      </c>
      <c r="AN141" t="s">
        <v>2240</v>
      </c>
      <c r="AO141" t="s">
        <v>2558</v>
      </c>
      <c r="AP141" t="s">
        <v>2559</v>
      </c>
      <c r="AQ141" t="s">
        <v>74</v>
      </c>
      <c r="AR141" t="s">
        <v>2549</v>
      </c>
      <c r="AS141" t="s">
        <v>2560</v>
      </c>
      <c r="AT141" t="s">
        <v>74</v>
      </c>
      <c r="AU141">
        <v>2006</v>
      </c>
      <c r="AV141">
        <v>38</v>
      </c>
      <c r="AW141" t="s">
        <v>74</v>
      </c>
      <c r="AX141">
        <v>2</v>
      </c>
      <c r="AY141" t="s">
        <v>74</v>
      </c>
      <c r="AZ141" t="s">
        <v>74</v>
      </c>
      <c r="BA141" t="s">
        <v>74</v>
      </c>
      <c r="BB141">
        <v>109</v>
      </c>
      <c r="BC141">
        <v>113</v>
      </c>
      <c r="BD141" t="s">
        <v>74</v>
      </c>
      <c r="BE141" t="s">
        <v>2572</v>
      </c>
      <c r="BF141" t="str">
        <f>HYPERLINK("http://dx.doi.org/10.1017/S0024282906005640","http://dx.doi.org/10.1017/S0024282906005640")</f>
        <v>http://dx.doi.org/10.1017/S0024282906005640</v>
      </c>
      <c r="BG141" t="s">
        <v>74</v>
      </c>
      <c r="BH141" t="s">
        <v>74</v>
      </c>
      <c r="BI141">
        <v>5</v>
      </c>
      <c r="BJ141" t="s">
        <v>2562</v>
      </c>
      <c r="BK141" t="s">
        <v>98</v>
      </c>
      <c r="BL141" t="s">
        <v>2562</v>
      </c>
      <c r="BM141" t="s">
        <v>2573</v>
      </c>
      <c r="BN141" t="s">
        <v>74</v>
      </c>
      <c r="BO141" t="s">
        <v>74</v>
      </c>
      <c r="BP141" t="s">
        <v>74</v>
      </c>
      <c r="BQ141" t="s">
        <v>74</v>
      </c>
      <c r="BR141" t="s">
        <v>101</v>
      </c>
      <c r="BS141" t="s">
        <v>2574</v>
      </c>
      <c r="BT141" t="str">
        <f>HYPERLINK("https%3A%2F%2Fwww.webofscience.com%2Fwos%2Fwoscc%2Ffull-record%2FWOS:000236271100002","View Full Record in Web of Science")</f>
        <v>View Full Record in Web of Science</v>
      </c>
    </row>
    <row r="142" spans="1:72" x14ac:dyDescent="0.15">
      <c r="A142" t="s">
        <v>72</v>
      </c>
      <c r="B142" t="s">
        <v>2575</v>
      </c>
      <c r="C142" t="s">
        <v>74</v>
      </c>
      <c r="D142" t="s">
        <v>74</v>
      </c>
      <c r="E142" t="s">
        <v>74</v>
      </c>
      <c r="F142" t="s">
        <v>2575</v>
      </c>
      <c r="G142" t="s">
        <v>74</v>
      </c>
      <c r="H142" t="s">
        <v>74</v>
      </c>
      <c r="I142" t="s">
        <v>2576</v>
      </c>
      <c r="J142" t="s">
        <v>2577</v>
      </c>
      <c r="K142" t="s">
        <v>74</v>
      </c>
      <c r="L142" t="s">
        <v>74</v>
      </c>
      <c r="M142" t="s">
        <v>77</v>
      </c>
      <c r="N142" t="s">
        <v>78</v>
      </c>
      <c r="O142" t="s">
        <v>74</v>
      </c>
      <c r="P142" t="s">
        <v>74</v>
      </c>
      <c r="Q142" t="s">
        <v>74</v>
      </c>
      <c r="R142" t="s">
        <v>74</v>
      </c>
      <c r="S142" t="s">
        <v>74</v>
      </c>
      <c r="T142" t="s">
        <v>2578</v>
      </c>
      <c r="U142" t="s">
        <v>2579</v>
      </c>
      <c r="V142" t="s">
        <v>2580</v>
      </c>
      <c r="W142" t="s">
        <v>2581</v>
      </c>
      <c r="X142" t="s">
        <v>2582</v>
      </c>
      <c r="Y142" t="s">
        <v>2583</v>
      </c>
      <c r="Z142" t="s">
        <v>2584</v>
      </c>
      <c r="AA142" t="s">
        <v>74</v>
      </c>
      <c r="AB142" t="s">
        <v>74</v>
      </c>
      <c r="AC142" t="s">
        <v>74</v>
      </c>
      <c r="AD142" t="s">
        <v>74</v>
      </c>
      <c r="AE142" t="s">
        <v>74</v>
      </c>
      <c r="AF142" t="s">
        <v>74</v>
      </c>
      <c r="AG142">
        <v>50</v>
      </c>
      <c r="AH142">
        <v>11</v>
      </c>
      <c r="AI142">
        <v>13</v>
      </c>
      <c r="AJ142">
        <v>0</v>
      </c>
      <c r="AK142">
        <v>11</v>
      </c>
      <c r="AL142" t="s">
        <v>1147</v>
      </c>
      <c r="AM142" t="s">
        <v>1148</v>
      </c>
      <c r="AN142" t="s">
        <v>1149</v>
      </c>
      <c r="AO142" t="s">
        <v>2585</v>
      </c>
      <c r="AP142" t="s">
        <v>2586</v>
      </c>
      <c r="AQ142" t="s">
        <v>74</v>
      </c>
      <c r="AR142" t="s">
        <v>2587</v>
      </c>
      <c r="AS142" t="s">
        <v>2588</v>
      </c>
      <c r="AT142" t="s">
        <v>74</v>
      </c>
      <c r="AU142">
        <v>2006</v>
      </c>
      <c r="AV142">
        <v>39</v>
      </c>
      <c r="AW142">
        <v>1</v>
      </c>
      <c r="AX142" t="s">
        <v>74</v>
      </c>
      <c r="AY142" t="s">
        <v>74</v>
      </c>
      <c r="AZ142" t="s">
        <v>74</v>
      </c>
      <c r="BA142" t="s">
        <v>74</v>
      </c>
      <c r="BB142">
        <v>43</v>
      </c>
      <c r="BC142">
        <v>53</v>
      </c>
      <c r="BD142" t="s">
        <v>74</v>
      </c>
      <c r="BE142" t="s">
        <v>2589</v>
      </c>
      <c r="BF142" t="str">
        <f>HYPERLINK("http://dx.doi.org/10.1016/j.lwt.2004.11.006","http://dx.doi.org/10.1016/j.lwt.2004.11.006")</f>
        <v>http://dx.doi.org/10.1016/j.lwt.2004.11.006</v>
      </c>
      <c r="BG142" t="s">
        <v>74</v>
      </c>
      <c r="BH142" t="s">
        <v>74</v>
      </c>
      <c r="BI142">
        <v>11</v>
      </c>
      <c r="BJ142" t="s">
        <v>2590</v>
      </c>
      <c r="BK142" t="s">
        <v>98</v>
      </c>
      <c r="BL142" t="s">
        <v>2590</v>
      </c>
      <c r="BM142" t="s">
        <v>2591</v>
      </c>
      <c r="BN142" t="s">
        <v>74</v>
      </c>
      <c r="BO142" t="s">
        <v>74</v>
      </c>
      <c r="BP142" t="s">
        <v>74</v>
      </c>
      <c r="BQ142" t="s">
        <v>74</v>
      </c>
      <c r="BR142" t="s">
        <v>101</v>
      </c>
      <c r="BS142" t="s">
        <v>2592</v>
      </c>
      <c r="BT142" t="str">
        <f>HYPERLINK("https%3A%2F%2Fwww.webofscience.com%2Fwos%2Fwoscc%2Ffull-record%2FWOS:000232526200007","View Full Record in Web of Science")</f>
        <v>View Full Record in Web of Science</v>
      </c>
    </row>
    <row r="143" spans="1:72" x14ac:dyDescent="0.15">
      <c r="A143" t="s">
        <v>72</v>
      </c>
      <c r="B143" t="s">
        <v>2593</v>
      </c>
      <c r="C143" t="s">
        <v>74</v>
      </c>
      <c r="D143" t="s">
        <v>74</v>
      </c>
      <c r="E143" t="s">
        <v>74</v>
      </c>
      <c r="F143" t="s">
        <v>2593</v>
      </c>
      <c r="G143" t="s">
        <v>74</v>
      </c>
      <c r="H143" t="s">
        <v>74</v>
      </c>
      <c r="I143" t="s">
        <v>2594</v>
      </c>
      <c r="J143" t="s">
        <v>2595</v>
      </c>
      <c r="K143" t="s">
        <v>74</v>
      </c>
      <c r="L143" t="s">
        <v>74</v>
      </c>
      <c r="M143" t="s">
        <v>77</v>
      </c>
      <c r="N143" t="s">
        <v>2596</v>
      </c>
      <c r="O143" t="s">
        <v>74</v>
      </c>
      <c r="P143" t="s">
        <v>74</v>
      </c>
      <c r="Q143" t="s">
        <v>74</v>
      </c>
      <c r="R143" t="s">
        <v>74</v>
      </c>
      <c r="S143" t="s">
        <v>74</v>
      </c>
      <c r="T143" t="s">
        <v>74</v>
      </c>
      <c r="U143" t="s">
        <v>74</v>
      </c>
      <c r="V143" t="s">
        <v>74</v>
      </c>
      <c r="W143" t="s">
        <v>74</v>
      </c>
      <c r="X143" t="s">
        <v>74</v>
      </c>
      <c r="Y143" t="s">
        <v>74</v>
      </c>
      <c r="Z143" t="s">
        <v>74</v>
      </c>
      <c r="AA143" t="s">
        <v>74</v>
      </c>
      <c r="AB143" t="s">
        <v>74</v>
      </c>
      <c r="AC143" t="s">
        <v>74</v>
      </c>
      <c r="AD143" t="s">
        <v>74</v>
      </c>
      <c r="AE143" t="s">
        <v>74</v>
      </c>
      <c r="AF143" t="s">
        <v>74</v>
      </c>
      <c r="AG143">
        <v>0</v>
      </c>
      <c r="AH143">
        <v>0</v>
      </c>
      <c r="AI143">
        <v>0</v>
      </c>
      <c r="AJ143">
        <v>0</v>
      </c>
      <c r="AK143">
        <v>0</v>
      </c>
      <c r="AL143" t="s">
        <v>2597</v>
      </c>
      <c r="AM143" t="s">
        <v>2598</v>
      </c>
      <c r="AN143" t="s">
        <v>2599</v>
      </c>
      <c r="AO143" t="s">
        <v>2600</v>
      </c>
      <c r="AP143" t="s">
        <v>2601</v>
      </c>
      <c r="AQ143" t="s">
        <v>74</v>
      </c>
      <c r="AR143" t="s">
        <v>2602</v>
      </c>
      <c r="AS143" t="s">
        <v>2603</v>
      </c>
      <c r="AT143" t="s">
        <v>74</v>
      </c>
      <c r="AU143">
        <v>2006</v>
      </c>
      <c r="AV143">
        <v>17</v>
      </c>
      <c r="AW143">
        <v>2</v>
      </c>
      <c r="AX143" t="s">
        <v>74</v>
      </c>
      <c r="AY143" t="s">
        <v>74</v>
      </c>
      <c r="AZ143" t="s">
        <v>74</v>
      </c>
      <c r="BA143" t="s">
        <v>74</v>
      </c>
      <c r="BB143" t="s">
        <v>74</v>
      </c>
      <c r="BC143" t="s">
        <v>74</v>
      </c>
      <c r="BD143" t="s">
        <v>74</v>
      </c>
      <c r="BE143" t="s">
        <v>2604</v>
      </c>
      <c r="BF143" t="str">
        <f>HYPERLINK("http://dx.doi.org/10.1108/meq.2006.08317bab.002","http://dx.doi.org/10.1108/meq.2006.08317bab.002")</f>
        <v>http://dx.doi.org/10.1108/meq.2006.08317bab.002</v>
      </c>
      <c r="BG143" t="s">
        <v>74</v>
      </c>
      <c r="BH143" t="s">
        <v>74</v>
      </c>
      <c r="BI143">
        <v>1</v>
      </c>
      <c r="BJ143" t="s">
        <v>1961</v>
      </c>
      <c r="BK143" t="s">
        <v>1219</v>
      </c>
      <c r="BL143" t="s">
        <v>1155</v>
      </c>
      <c r="BM143" t="s">
        <v>2605</v>
      </c>
      <c r="BN143" t="s">
        <v>74</v>
      </c>
      <c r="BO143" t="s">
        <v>74</v>
      </c>
      <c r="BP143" t="s">
        <v>74</v>
      </c>
      <c r="BQ143" t="s">
        <v>74</v>
      </c>
      <c r="BR143" t="s">
        <v>101</v>
      </c>
      <c r="BS143" t="s">
        <v>2606</v>
      </c>
      <c r="BT143" t="str">
        <f>HYPERLINK("https%3A%2F%2Fwww.webofscience.com%2Fwos%2Fwoscc%2Ffull-record%2FWOS:000415226700011","View Full Record in Web of Science")</f>
        <v>View Full Record in Web of Science</v>
      </c>
    </row>
    <row r="144" spans="1:72" x14ac:dyDescent="0.15">
      <c r="A144" t="s">
        <v>72</v>
      </c>
      <c r="B144" t="s">
        <v>2607</v>
      </c>
      <c r="C144" t="s">
        <v>74</v>
      </c>
      <c r="D144" t="s">
        <v>74</v>
      </c>
      <c r="E144" t="s">
        <v>74</v>
      </c>
      <c r="F144" t="s">
        <v>2608</v>
      </c>
      <c r="G144" t="s">
        <v>74</v>
      </c>
      <c r="H144" t="s">
        <v>74</v>
      </c>
      <c r="I144" t="s">
        <v>2609</v>
      </c>
      <c r="J144" t="s">
        <v>2610</v>
      </c>
      <c r="K144" t="s">
        <v>74</v>
      </c>
      <c r="L144" t="s">
        <v>74</v>
      </c>
      <c r="M144" t="s">
        <v>77</v>
      </c>
      <c r="N144" t="s">
        <v>78</v>
      </c>
      <c r="O144" t="s">
        <v>74</v>
      </c>
      <c r="P144" t="s">
        <v>74</v>
      </c>
      <c r="Q144" t="s">
        <v>74</v>
      </c>
      <c r="R144" t="s">
        <v>74</v>
      </c>
      <c r="S144" t="s">
        <v>74</v>
      </c>
      <c r="T144" t="s">
        <v>2611</v>
      </c>
      <c r="U144" t="s">
        <v>2612</v>
      </c>
      <c r="V144" t="s">
        <v>2613</v>
      </c>
      <c r="W144" t="s">
        <v>2614</v>
      </c>
      <c r="X144" t="s">
        <v>2615</v>
      </c>
      <c r="Y144" t="s">
        <v>2616</v>
      </c>
      <c r="Z144" t="s">
        <v>2617</v>
      </c>
      <c r="AA144" t="s">
        <v>2618</v>
      </c>
      <c r="AB144" t="s">
        <v>2619</v>
      </c>
      <c r="AC144" t="s">
        <v>74</v>
      </c>
      <c r="AD144" t="s">
        <v>74</v>
      </c>
      <c r="AE144" t="s">
        <v>74</v>
      </c>
      <c r="AF144" t="s">
        <v>74</v>
      </c>
      <c r="AG144">
        <v>30</v>
      </c>
      <c r="AH144">
        <v>27</v>
      </c>
      <c r="AI144">
        <v>28</v>
      </c>
      <c r="AJ144">
        <v>0</v>
      </c>
      <c r="AK144">
        <v>7</v>
      </c>
      <c r="AL144" t="s">
        <v>2620</v>
      </c>
      <c r="AM144" t="s">
        <v>2621</v>
      </c>
      <c r="AN144" t="s">
        <v>2622</v>
      </c>
      <c r="AO144" t="s">
        <v>2623</v>
      </c>
      <c r="AP144" t="s">
        <v>2624</v>
      </c>
      <c r="AQ144" t="s">
        <v>74</v>
      </c>
      <c r="AR144" t="s">
        <v>2625</v>
      </c>
      <c r="AS144" t="s">
        <v>2626</v>
      </c>
      <c r="AT144" t="s">
        <v>74</v>
      </c>
      <c r="AU144">
        <v>2006</v>
      </c>
      <c r="AV144">
        <v>2</v>
      </c>
      <c r="AW144">
        <v>6</v>
      </c>
      <c r="AX144" t="s">
        <v>74</v>
      </c>
      <c r="AY144" t="s">
        <v>74</v>
      </c>
      <c r="AZ144" t="s">
        <v>74</v>
      </c>
      <c r="BA144" t="s">
        <v>74</v>
      </c>
      <c r="BB144">
        <v>372</v>
      </c>
      <c r="BC144">
        <v>387</v>
      </c>
      <c r="BD144" t="s">
        <v>74</v>
      </c>
      <c r="BE144" t="s">
        <v>2627</v>
      </c>
      <c r="BF144" t="str">
        <f>HYPERLINK("http://dx.doi.org/10.1080/17451000600973315","http://dx.doi.org/10.1080/17451000600973315")</f>
        <v>http://dx.doi.org/10.1080/17451000600973315</v>
      </c>
      <c r="BG144" t="s">
        <v>74</v>
      </c>
      <c r="BH144" t="s">
        <v>74</v>
      </c>
      <c r="BI144">
        <v>16</v>
      </c>
      <c r="BJ144" t="s">
        <v>2628</v>
      </c>
      <c r="BK144" t="s">
        <v>98</v>
      </c>
      <c r="BL144" t="s">
        <v>2629</v>
      </c>
      <c r="BM144" t="s">
        <v>2630</v>
      </c>
      <c r="BN144" t="s">
        <v>74</v>
      </c>
      <c r="BO144" t="s">
        <v>74</v>
      </c>
      <c r="BP144" t="s">
        <v>74</v>
      </c>
      <c r="BQ144" t="s">
        <v>74</v>
      </c>
      <c r="BR144" t="s">
        <v>101</v>
      </c>
      <c r="BS144" t="s">
        <v>2631</v>
      </c>
      <c r="BT144" t="str">
        <f>HYPERLINK("https%3A%2F%2Fwww.webofscience.com%2Fwos%2Fwoscc%2Ffull-record%2FWOS:000243533000002","View Full Record in Web of Science")</f>
        <v>View Full Record in Web of Science</v>
      </c>
    </row>
    <row r="145" spans="1:72" x14ac:dyDescent="0.15">
      <c r="A145" t="s">
        <v>72</v>
      </c>
      <c r="B145" t="s">
        <v>2632</v>
      </c>
      <c r="C145" t="s">
        <v>74</v>
      </c>
      <c r="D145" t="s">
        <v>74</v>
      </c>
      <c r="E145" t="s">
        <v>74</v>
      </c>
      <c r="F145" t="s">
        <v>2633</v>
      </c>
      <c r="G145" t="s">
        <v>74</v>
      </c>
      <c r="H145" t="s">
        <v>74</v>
      </c>
      <c r="I145" t="s">
        <v>2634</v>
      </c>
      <c r="J145" t="s">
        <v>2635</v>
      </c>
      <c r="K145" t="s">
        <v>74</v>
      </c>
      <c r="L145" t="s">
        <v>74</v>
      </c>
      <c r="M145" t="s">
        <v>77</v>
      </c>
      <c r="N145" t="s">
        <v>78</v>
      </c>
      <c r="O145" t="s">
        <v>74</v>
      </c>
      <c r="P145" t="s">
        <v>74</v>
      </c>
      <c r="Q145" t="s">
        <v>74</v>
      </c>
      <c r="R145" t="s">
        <v>74</v>
      </c>
      <c r="S145" t="s">
        <v>74</v>
      </c>
      <c r="T145" t="s">
        <v>2636</v>
      </c>
      <c r="U145" t="s">
        <v>2637</v>
      </c>
      <c r="V145" t="s">
        <v>2638</v>
      </c>
      <c r="W145" t="s">
        <v>2639</v>
      </c>
      <c r="X145" t="s">
        <v>2640</v>
      </c>
      <c r="Y145" t="s">
        <v>2641</v>
      </c>
      <c r="Z145" t="s">
        <v>2642</v>
      </c>
      <c r="AA145" t="s">
        <v>2643</v>
      </c>
      <c r="AB145" t="s">
        <v>2644</v>
      </c>
      <c r="AC145" t="s">
        <v>74</v>
      </c>
      <c r="AD145" t="s">
        <v>74</v>
      </c>
      <c r="AE145" t="s">
        <v>74</v>
      </c>
      <c r="AF145" t="s">
        <v>74</v>
      </c>
      <c r="AG145">
        <v>40</v>
      </c>
      <c r="AH145">
        <v>39</v>
      </c>
      <c r="AI145">
        <v>46</v>
      </c>
      <c r="AJ145">
        <v>1</v>
      </c>
      <c r="AK145">
        <v>14</v>
      </c>
      <c r="AL145" t="s">
        <v>2645</v>
      </c>
      <c r="AM145" t="s">
        <v>2646</v>
      </c>
      <c r="AN145" t="s">
        <v>2647</v>
      </c>
      <c r="AO145" t="s">
        <v>2648</v>
      </c>
      <c r="AP145" t="s">
        <v>2649</v>
      </c>
      <c r="AQ145" t="s">
        <v>74</v>
      </c>
      <c r="AR145" t="s">
        <v>2650</v>
      </c>
      <c r="AS145" t="s">
        <v>2651</v>
      </c>
      <c r="AT145" t="s">
        <v>74</v>
      </c>
      <c r="AU145">
        <v>2006</v>
      </c>
      <c r="AV145">
        <v>328</v>
      </c>
      <c r="AW145" t="s">
        <v>74</v>
      </c>
      <c r="AX145" t="s">
        <v>74</v>
      </c>
      <c r="AY145" t="s">
        <v>74</v>
      </c>
      <c r="AZ145" t="s">
        <v>74</v>
      </c>
      <c r="BA145" t="s">
        <v>74</v>
      </c>
      <c r="BB145">
        <v>1</v>
      </c>
      <c r="BC145">
        <v>15</v>
      </c>
      <c r="BD145" t="s">
        <v>74</v>
      </c>
      <c r="BE145" t="s">
        <v>2652</v>
      </c>
      <c r="BF145" t="str">
        <f>HYPERLINK("http://dx.doi.org/10.3354/meps328001","http://dx.doi.org/10.3354/meps328001")</f>
        <v>http://dx.doi.org/10.3354/meps328001</v>
      </c>
      <c r="BG145" t="s">
        <v>74</v>
      </c>
      <c r="BH145" t="s">
        <v>74</v>
      </c>
      <c r="BI145">
        <v>15</v>
      </c>
      <c r="BJ145" t="s">
        <v>2653</v>
      </c>
      <c r="BK145" t="s">
        <v>98</v>
      </c>
      <c r="BL145" t="s">
        <v>2654</v>
      </c>
      <c r="BM145" t="s">
        <v>2655</v>
      </c>
      <c r="BN145" t="s">
        <v>74</v>
      </c>
      <c r="BO145" t="s">
        <v>2656</v>
      </c>
      <c r="BP145" t="s">
        <v>74</v>
      </c>
      <c r="BQ145" t="s">
        <v>74</v>
      </c>
      <c r="BR145" t="s">
        <v>101</v>
      </c>
      <c r="BS145" t="s">
        <v>2657</v>
      </c>
      <c r="BT145" t="str">
        <f>HYPERLINK("https%3A%2F%2Fwww.webofscience.com%2Fwos%2Fwoscc%2Ffull-record%2FWOS:000245319400001","View Full Record in Web of Science")</f>
        <v>View Full Record in Web of Science</v>
      </c>
    </row>
    <row r="146" spans="1:72" x14ac:dyDescent="0.15">
      <c r="A146" t="s">
        <v>72</v>
      </c>
      <c r="B146" t="s">
        <v>2658</v>
      </c>
      <c r="C146" t="s">
        <v>74</v>
      </c>
      <c r="D146" t="s">
        <v>74</v>
      </c>
      <c r="E146" t="s">
        <v>74</v>
      </c>
      <c r="F146" t="s">
        <v>2659</v>
      </c>
      <c r="G146" t="s">
        <v>74</v>
      </c>
      <c r="H146" t="s">
        <v>74</v>
      </c>
      <c r="I146" t="s">
        <v>2660</v>
      </c>
      <c r="J146" t="s">
        <v>2635</v>
      </c>
      <c r="K146" t="s">
        <v>74</v>
      </c>
      <c r="L146" t="s">
        <v>74</v>
      </c>
      <c r="M146" t="s">
        <v>77</v>
      </c>
      <c r="N146" t="s">
        <v>78</v>
      </c>
      <c r="O146" t="s">
        <v>74</v>
      </c>
      <c r="P146" t="s">
        <v>74</v>
      </c>
      <c r="Q146" t="s">
        <v>74</v>
      </c>
      <c r="R146" t="s">
        <v>74</v>
      </c>
      <c r="S146" t="s">
        <v>74</v>
      </c>
      <c r="T146" t="s">
        <v>2661</v>
      </c>
      <c r="U146" t="s">
        <v>2662</v>
      </c>
      <c r="V146" t="s">
        <v>2663</v>
      </c>
      <c r="W146" t="s">
        <v>2664</v>
      </c>
      <c r="X146" t="s">
        <v>2665</v>
      </c>
      <c r="Y146" t="s">
        <v>2666</v>
      </c>
      <c r="Z146" t="s">
        <v>2667</v>
      </c>
      <c r="AA146" t="s">
        <v>2668</v>
      </c>
      <c r="AB146" t="s">
        <v>2669</v>
      </c>
      <c r="AC146" t="s">
        <v>734</v>
      </c>
      <c r="AD146" t="s">
        <v>735</v>
      </c>
      <c r="AE146" t="s">
        <v>74</v>
      </c>
      <c r="AF146" t="s">
        <v>74</v>
      </c>
      <c r="AG146">
        <v>21</v>
      </c>
      <c r="AH146">
        <v>25</v>
      </c>
      <c r="AI146">
        <v>26</v>
      </c>
      <c r="AJ146">
        <v>0</v>
      </c>
      <c r="AK146">
        <v>16</v>
      </c>
      <c r="AL146" t="s">
        <v>2645</v>
      </c>
      <c r="AM146" t="s">
        <v>2646</v>
      </c>
      <c r="AN146" t="s">
        <v>2647</v>
      </c>
      <c r="AO146" t="s">
        <v>2648</v>
      </c>
      <c r="AP146" t="s">
        <v>2649</v>
      </c>
      <c r="AQ146" t="s">
        <v>74</v>
      </c>
      <c r="AR146" t="s">
        <v>2650</v>
      </c>
      <c r="AS146" t="s">
        <v>2651</v>
      </c>
      <c r="AT146" t="s">
        <v>74</v>
      </c>
      <c r="AU146">
        <v>2006</v>
      </c>
      <c r="AV146">
        <v>326</v>
      </c>
      <c r="AW146" t="s">
        <v>74</v>
      </c>
      <c r="AX146" t="s">
        <v>74</v>
      </c>
      <c r="AY146" t="s">
        <v>74</v>
      </c>
      <c r="AZ146" t="s">
        <v>74</v>
      </c>
      <c r="BA146" t="s">
        <v>74</v>
      </c>
      <c r="BB146">
        <v>29</v>
      </c>
      <c r="BC146">
        <v>35</v>
      </c>
      <c r="BD146" t="s">
        <v>74</v>
      </c>
      <c r="BE146" t="s">
        <v>2670</v>
      </c>
      <c r="BF146" t="str">
        <f>HYPERLINK("http://dx.doi.org/10.3354/meps326029","http://dx.doi.org/10.3354/meps326029")</f>
        <v>http://dx.doi.org/10.3354/meps326029</v>
      </c>
      <c r="BG146" t="s">
        <v>74</v>
      </c>
      <c r="BH146" t="s">
        <v>74</v>
      </c>
      <c r="BI146">
        <v>7</v>
      </c>
      <c r="BJ146" t="s">
        <v>2653</v>
      </c>
      <c r="BK146" t="s">
        <v>98</v>
      </c>
      <c r="BL146" t="s">
        <v>2654</v>
      </c>
      <c r="BM146" t="s">
        <v>2671</v>
      </c>
      <c r="BN146" t="s">
        <v>74</v>
      </c>
      <c r="BO146" t="s">
        <v>2656</v>
      </c>
      <c r="BP146" t="s">
        <v>74</v>
      </c>
      <c r="BQ146" t="s">
        <v>74</v>
      </c>
      <c r="BR146" t="s">
        <v>101</v>
      </c>
      <c r="BS146" t="s">
        <v>2672</v>
      </c>
      <c r="BT146" t="str">
        <f>HYPERLINK("https%3A%2F%2Fwww.webofscience.com%2Fwos%2Fwoscc%2Ffull-record%2FWOS:000243104300003","View Full Record in Web of Science")</f>
        <v>View Full Record in Web of Science</v>
      </c>
    </row>
    <row r="147" spans="1:72" x14ac:dyDescent="0.15">
      <c r="A147" t="s">
        <v>72</v>
      </c>
      <c r="B147" t="s">
        <v>2673</v>
      </c>
      <c r="C147" t="s">
        <v>74</v>
      </c>
      <c r="D147" t="s">
        <v>74</v>
      </c>
      <c r="E147" t="s">
        <v>74</v>
      </c>
      <c r="F147" t="s">
        <v>2674</v>
      </c>
      <c r="G147" t="s">
        <v>74</v>
      </c>
      <c r="H147" t="s">
        <v>74</v>
      </c>
      <c r="I147" t="s">
        <v>2675</v>
      </c>
      <c r="J147" t="s">
        <v>2635</v>
      </c>
      <c r="K147" t="s">
        <v>74</v>
      </c>
      <c r="L147" t="s">
        <v>74</v>
      </c>
      <c r="M147" t="s">
        <v>77</v>
      </c>
      <c r="N147" t="s">
        <v>78</v>
      </c>
      <c r="O147" t="s">
        <v>74</v>
      </c>
      <c r="P147" t="s">
        <v>74</v>
      </c>
      <c r="Q147" t="s">
        <v>74</v>
      </c>
      <c r="R147" t="s">
        <v>74</v>
      </c>
      <c r="S147" t="s">
        <v>74</v>
      </c>
      <c r="T147" t="s">
        <v>2676</v>
      </c>
      <c r="U147" t="s">
        <v>2677</v>
      </c>
      <c r="V147" t="s">
        <v>2678</v>
      </c>
      <c r="W147" t="s">
        <v>2679</v>
      </c>
      <c r="X147" t="s">
        <v>2680</v>
      </c>
      <c r="Y147" t="s">
        <v>2681</v>
      </c>
      <c r="Z147" t="s">
        <v>2682</v>
      </c>
      <c r="AA147" t="s">
        <v>2683</v>
      </c>
      <c r="AB147" t="s">
        <v>2684</v>
      </c>
      <c r="AC147" t="s">
        <v>74</v>
      </c>
      <c r="AD147" t="s">
        <v>74</v>
      </c>
      <c r="AE147" t="s">
        <v>74</v>
      </c>
      <c r="AF147" t="s">
        <v>74</v>
      </c>
      <c r="AG147">
        <v>45</v>
      </c>
      <c r="AH147">
        <v>14</v>
      </c>
      <c r="AI147">
        <v>18</v>
      </c>
      <c r="AJ147">
        <v>0</v>
      </c>
      <c r="AK147">
        <v>20</v>
      </c>
      <c r="AL147" t="s">
        <v>2645</v>
      </c>
      <c r="AM147" t="s">
        <v>2646</v>
      </c>
      <c r="AN147" t="s">
        <v>2647</v>
      </c>
      <c r="AO147" t="s">
        <v>2648</v>
      </c>
      <c r="AP147" t="s">
        <v>2649</v>
      </c>
      <c r="AQ147" t="s">
        <v>74</v>
      </c>
      <c r="AR147" t="s">
        <v>2650</v>
      </c>
      <c r="AS147" t="s">
        <v>2651</v>
      </c>
      <c r="AT147" t="s">
        <v>74</v>
      </c>
      <c r="AU147">
        <v>2006</v>
      </c>
      <c r="AV147">
        <v>326</v>
      </c>
      <c r="AW147" t="s">
        <v>74</v>
      </c>
      <c r="AX147" t="s">
        <v>74</v>
      </c>
      <c r="AY147" t="s">
        <v>74</v>
      </c>
      <c r="AZ147" t="s">
        <v>74</v>
      </c>
      <c r="BA147" t="s">
        <v>74</v>
      </c>
      <c r="BB147">
        <v>269</v>
      </c>
      <c r="BC147">
        <v>282</v>
      </c>
      <c r="BD147" t="s">
        <v>74</v>
      </c>
      <c r="BE147" t="s">
        <v>2685</v>
      </c>
      <c r="BF147" t="str">
        <f>HYPERLINK("http://dx.doi.org/10.3354/meps326269","http://dx.doi.org/10.3354/meps326269")</f>
        <v>http://dx.doi.org/10.3354/meps326269</v>
      </c>
      <c r="BG147" t="s">
        <v>74</v>
      </c>
      <c r="BH147" t="s">
        <v>74</v>
      </c>
      <c r="BI147">
        <v>14</v>
      </c>
      <c r="BJ147" t="s">
        <v>2653</v>
      </c>
      <c r="BK147" t="s">
        <v>98</v>
      </c>
      <c r="BL147" t="s">
        <v>2654</v>
      </c>
      <c r="BM147" t="s">
        <v>2671</v>
      </c>
      <c r="BN147" t="s">
        <v>74</v>
      </c>
      <c r="BO147" t="s">
        <v>1900</v>
      </c>
      <c r="BP147" t="s">
        <v>74</v>
      </c>
      <c r="BQ147" t="s">
        <v>74</v>
      </c>
      <c r="BR147" t="s">
        <v>101</v>
      </c>
      <c r="BS147" t="s">
        <v>2686</v>
      </c>
      <c r="BT147" t="str">
        <f>HYPERLINK("https%3A%2F%2Fwww.webofscience.com%2Fwos%2Fwoscc%2Ffull-record%2FWOS:000243104300023","View Full Record in Web of Science")</f>
        <v>View Full Record in Web of Science</v>
      </c>
    </row>
    <row r="148" spans="1:72" x14ac:dyDescent="0.15">
      <c r="A148" t="s">
        <v>72</v>
      </c>
      <c r="B148" t="s">
        <v>2687</v>
      </c>
      <c r="C148" t="s">
        <v>74</v>
      </c>
      <c r="D148" t="s">
        <v>74</v>
      </c>
      <c r="E148" t="s">
        <v>74</v>
      </c>
      <c r="F148" t="s">
        <v>2688</v>
      </c>
      <c r="G148" t="s">
        <v>74</v>
      </c>
      <c r="H148" t="s">
        <v>74</v>
      </c>
      <c r="I148" t="s">
        <v>2689</v>
      </c>
      <c r="J148" t="s">
        <v>2635</v>
      </c>
      <c r="K148" t="s">
        <v>74</v>
      </c>
      <c r="L148" t="s">
        <v>74</v>
      </c>
      <c r="M148" t="s">
        <v>77</v>
      </c>
      <c r="N148" t="s">
        <v>78</v>
      </c>
      <c r="O148" t="s">
        <v>74</v>
      </c>
      <c r="P148" t="s">
        <v>74</v>
      </c>
      <c r="Q148" t="s">
        <v>74</v>
      </c>
      <c r="R148" t="s">
        <v>74</v>
      </c>
      <c r="S148" t="s">
        <v>74</v>
      </c>
      <c r="T148" t="s">
        <v>2690</v>
      </c>
      <c r="U148" t="s">
        <v>2691</v>
      </c>
      <c r="V148" t="s">
        <v>2692</v>
      </c>
      <c r="W148" t="s">
        <v>2693</v>
      </c>
      <c r="X148" t="s">
        <v>2694</v>
      </c>
      <c r="Y148" t="s">
        <v>2695</v>
      </c>
      <c r="Z148" t="s">
        <v>2696</v>
      </c>
      <c r="AA148" t="s">
        <v>2697</v>
      </c>
      <c r="AB148" t="s">
        <v>2698</v>
      </c>
      <c r="AC148" t="s">
        <v>74</v>
      </c>
      <c r="AD148" t="s">
        <v>74</v>
      </c>
      <c r="AE148" t="s">
        <v>74</v>
      </c>
      <c r="AF148" t="s">
        <v>74</v>
      </c>
      <c r="AG148">
        <v>67</v>
      </c>
      <c r="AH148">
        <v>122</v>
      </c>
      <c r="AI148">
        <v>134</v>
      </c>
      <c r="AJ148">
        <v>3</v>
      </c>
      <c r="AK148">
        <v>21</v>
      </c>
      <c r="AL148" t="s">
        <v>2645</v>
      </c>
      <c r="AM148" t="s">
        <v>2646</v>
      </c>
      <c r="AN148" t="s">
        <v>2647</v>
      </c>
      <c r="AO148" t="s">
        <v>2648</v>
      </c>
      <c r="AP148" t="s">
        <v>2649</v>
      </c>
      <c r="AQ148" t="s">
        <v>74</v>
      </c>
      <c r="AR148" t="s">
        <v>2650</v>
      </c>
      <c r="AS148" t="s">
        <v>2651</v>
      </c>
      <c r="AT148" t="s">
        <v>74</v>
      </c>
      <c r="AU148">
        <v>2006</v>
      </c>
      <c r="AV148">
        <v>324</v>
      </c>
      <c r="AW148" t="s">
        <v>74</v>
      </c>
      <c r="AX148" t="s">
        <v>74</v>
      </c>
      <c r="AY148" t="s">
        <v>74</v>
      </c>
      <c r="AZ148" t="s">
        <v>74</v>
      </c>
      <c r="BA148" t="s">
        <v>74</v>
      </c>
      <c r="BB148">
        <v>241</v>
      </c>
      <c r="BC148">
        <v>260</v>
      </c>
      <c r="BD148" t="s">
        <v>74</v>
      </c>
      <c r="BE148" t="s">
        <v>2699</v>
      </c>
      <c r="BF148" t="str">
        <f>HYPERLINK("http://dx.doi.org/10.3354/meps324241","http://dx.doi.org/10.3354/meps324241")</f>
        <v>http://dx.doi.org/10.3354/meps324241</v>
      </c>
      <c r="BG148" t="s">
        <v>74</v>
      </c>
      <c r="BH148" t="s">
        <v>74</v>
      </c>
      <c r="BI148">
        <v>20</v>
      </c>
      <c r="BJ148" t="s">
        <v>2653</v>
      </c>
      <c r="BK148" t="s">
        <v>98</v>
      </c>
      <c r="BL148" t="s">
        <v>2654</v>
      </c>
      <c r="BM148" t="s">
        <v>2700</v>
      </c>
      <c r="BN148" t="s">
        <v>74</v>
      </c>
      <c r="BO148" t="s">
        <v>1900</v>
      </c>
      <c r="BP148" t="s">
        <v>74</v>
      </c>
      <c r="BQ148" t="s">
        <v>74</v>
      </c>
      <c r="BR148" t="s">
        <v>101</v>
      </c>
      <c r="BS148" t="s">
        <v>2701</v>
      </c>
      <c r="BT148" t="str">
        <f>HYPERLINK("https%3A%2F%2Fwww.webofscience.com%2Fwos%2Fwoscc%2Ffull-record%2FWOS:000242376800020","View Full Record in Web of Science")</f>
        <v>View Full Record in Web of Science</v>
      </c>
    </row>
    <row r="149" spans="1:72" x14ac:dyDescent="0.15">
      <c r="A149" t="s">
        <v>72</v>
      </c>
      <c r="B149" t="s">
        <v>2702</v>
      </c>
      <c r="C149" t="s">
        <v>74</v>
      </c>
      <c r="D149" t="s">
        <v>74</v>
      </c>
      <c r="E149" t="s">
        <v>74</v>
      </c>
      <c r="F149" t="s">
        <v>2703</v>
      </c>
      <c r="G149" t="s">
        <v>74</v>
      </c>
      <c r="H149" t="s">
        <v>74</v>
      </c>
      <c r="I149" t="s">
        <v>2704</v>
      </c>
      <c r="J149" t="s">
        <v>2635</v>
      </c>
      <c r="K149" t="s">
        <v>74</v>
      </c>
      <c r="L149" t="s">
        <v>74</v>
      </c>
      <c r="M149" t="s">
        <v>77</v>
      </c>
      <c r="N149" t="s">
        <v>78</v>
      </c>
      <c r="O149" t="s">
        <v>74</v>
      </c>
      <c r="P149" t="s">
        <v>74</v>
      </c>
      <c r="Q149" t="s">
        <v>74</v>
      </c>
      <c r="R149" t="s">
        <v>74</v>
      </c>
      <c r="S149" t="s">
        <v>74</v>
      </c>
      <c r="T149" t="s">
        <v>2705</v>
      </c>
      <c r="U149" t="s">
        <v>2706</v>
      </c>
      <c r="V149" t="s">
        <v>2707</v>
      </c>
      <c r="W149" t="s">
        <v>2708</v>
      </c>
      <c r="X149" t="s">
        <v>2709</v>
      </c>
      <c r="Y149" t="s">
        <v>2710</v>
      </c>
      <c r="Z149" t="s">
        <v>2711</v>
      </c>
      <c r="AA149" t="s">
        <v>74</v>
      </c>
      <c r="AB149" t="s">
        <v>2712</v>
      </c>
      <c r="AC149" t="s">
        <v>74</v>
      </c>
      <c r="AD149" t="s">
        <v>74</v>
      </c>
      <c r="AE149" t="s">
        <v>74</v>
      </c>
      <c r="AF149" t="s">
        <v>74</v>
      </c>
      <c r="AG149">
        <v>42</v>
      </c>
      <c r="AH149">
        <v>16</v>
      </c>
      <c r="AI149">
        <v>19</v>
      </c>
      <c r="AJ149">
        <v>0</v>
      </c>
      <c r="AK149">
        <v>11</v>
      </c>
      <c r="AL149" t="s">
        <v>2645</v>
      </c>
      <c r="AM149" t="s">
        <v>2646</v>
      </c>
      <c r="AN149" t="s">
        <v>2647</v>
      </c>
      <c r="AO149" t="s">
        <v>2648</v>
      </c>
      <c r="AP149" t="s">
        <v>2649</v>
      </c>
      <c r="AQ149" t="s">
        <v>74</v>
      </c>
      <c r="AR149" t="s">
        <v>2650</v>
      </c>
      <c r="AS149" t="s">
        <v>2651</v>
      </c>
      <c r="AT149" t="s">
        <v>74</v>
      </c>
      <c r="AU149">
        <v>2006</v>
      </c>
      <c r="AV149">
        <v>324</v>
      </c>
      <c r="AW149" t="s">
        <v>74</v>
      </c>
      <c r="AX149" t="s">
        <v>74</v>
      </c>
      <c r="AY149" t="s">
        <v>74</v>
      </c>
      <c r="AZ149" t="s">
        <v>74</v>
      </c>
      <c r="BA149" t="s">
        <v>74</v>
      </c>
      <c r="BB149">
        <v>261</v>
      </c>
      <c r="BC149">
        <v>270</v>
      </c>
      <c r="BD149" t="s">
        <v>74</v>
      </c>
      <c r="BE149" t="s">
        <v>2713</v>
      </c>
      <c r="BF149" t="str">
        <f>HYPERLINK("http://dx.doi.org/10.3354/meps324261","http://dx.doi.org/10.3354/meps324261")</f>
        <v>http://dx.doi.org/10.3354/meps324261</v>
      </c>
      <c r="BG149" t="s">
        <v>74</v>
      </c>
      <c r="BH149" t="s">
        <v>74</v>
      </c>
      <c r="BI149">
        <v>10</v>
      </c>
      <c r="BJ149" t="s">
        <v>2653</v>
      </c>
      <c r="BK149" t="s">
        <v>98</v>
      </c>
      <c r="BL149" t="s">
        <v>2654</v>
      </c>
      <c r="BM149" t="s">
        <v>2700</v>
      </c>
      <c r="BN149" t="s">
        <v>74</v>
      </c>
      <c r="BO149" t="s">
        <v>1900</v>
      </c>
      <c r="BP149" t="s">
        <v>74</v>
      </c>
      <c r="BQ149" t="s">
        <v>74</v>
      </c>
      <c r="BR149" t="s">
        <v>101</v>
      </c>
      <c r="BS149" t="s">
        <v>2714</v>
      </c>
      <c r="BT149" t="str">
        <f>HYPERLINK("https%3A%2F%2Fwww.webofscience.com%2Fwos%2Fwoscc%2Ffull-record%2FWOS:000242376800021","View Full Record in Web of Science")</f>
        <v>View Full Record in Web of Science</v>
      </c>
    </row>
    <row r="150" spans="1:72" x14ac:dyDescent="0.15">
      <c r="A150" t="s">
        <v>72</v>
      </c>
      <c r="B150" t="s">
        <v>2715</v>
      </c>
      <c r="C150" t="s">
        <v>74</v>
      </c>
      <c r="D150" t="s">
        <v>74</v>
      </c>
      <c r="E150" t="s">
        <v>74</v>
      </c>
      <c r="F150" t="s">
        <v>2716</v>
      </c>
      <c r="G150" t="s">
        <v>74</v>
      </c>
      <c r="H150" t="s">
        <v>74</v>
      </c>
      <c r="I150" t="s">
        <v>2717</v>
      </c>
      <c r="J150" t="s">
        <v>2635</v>
      </c>
      <c r="K150" t="s">
        <v>74</v>
      </c>
      <c r="L150" t="s">
        <v>74</v>
      </c>
      <c r="M150" t="s">
        <v>77</v>
      </c>
      <c r="N150" t="s">
        <v>78</v>
      </c>
      <c r="O150" t="s">
        <v>74</v>
      </c>
      <c r="P150" t="s">
        <v>74</v>
      </c>
      <c r="Q150" t="s">
        <v>74</v>
      </c>
      <c r="R150" t="s">
        <v>74</v>
      </c>
      <c r="S150" t="s">
        <v>74</v>
      </c>
      <c r="T150" t="s">
        <v>2718</v>
      </c>
      <c r="U150" t="s">
        <v>2719</v>
      </c>
      <c r="V150" t="s">
        <v>2720</v>
      </c>
      <c r="W150" t="s">
        <v>2721</v>
      </c>
      <c r="X150" t="s">
        <v>788</v>
      </c>
      <c r="Y150" t="s">
        <v>2722</v>
      </c>
      <c r="Z150" t="s">
        <v>2723</v>
      </c>
      <c r="AA150" t="s">
        <v>2724</v>
      </c>
      <c r="AB150" t="s">
        <v>2725</v>
      </c>
      <c r="AC150" t="s">
        <v>74</v>
      </c>
      <c r="AD150" t="s">
        <v>74</v>
      </c>
      <c r="AE150" t="s">
        <v>74</v>
      </c>
      <c r="AF150" t="s">
        <v>74</v>
      </c>
      <c r="AG150">
        <v>45</v>
      </c>
      <c r="AH150">
        <v>47</v>
      </c>
      <c r="AI150">
        <v>48</v>
      </c>
      <c r="AJ150">
        <v>0</v>
      </c>
      <c r="AK150">
        <v>26</v>
      </c>
      <c r="AL150" t="s">
        <v>2645</v>
      </c>
      <c r="AM150" t="s">
        <v>2646</v>
      </c>
      <c r="AN150" t="s">
        <v>2647</v>
      </c>
      <c r="AO150" t="s">
        <v>2648</v>
      </c>
      <c r="AP150" t="s">
        <v>2649</v>
      </c>
      <c r="AQ150" t="s">
        <v>74</v>
      </c>
      <c r="AR150" t="s">
        <v>2650</v>
      </c>
      <c r="AS150" t="s">
        <v>2651</v>
      </c>
      <c r="AT150" t="s">
        <v>74</v>
      </c>
      <c r="AU150">
        <v>2006</v>
      </c>
      <c r="AV150">
        <v>323</v>
      </c>
      <c r="AW150" t="s">
        <v>74</v>
      </c>
      <c r="AX150" t="s">
        <v>74</v>
      </c>
      <c r="AY150" t="s">
        <v>74</v>
      </c>
      <c r="AZ150" t="s">
        <v>74</v>
      </c>
      <c r="BA150" t="s">
        <v>74</v>
      </c>
      <c r="BB150">
        <v>239</v>
      </c>
      <c r="BC150">
        <v>251</v>
      </c>
      <c r="BD150" t="s">
        <v>74</v>
      </c>
      <c r="BE150" t="s">
        <v>2726</v>
      </c>
      <c r="BF150" t="str">
        <f>HYPERLINK("http://dx.doi.org/10.3354/meps323239","http://dx.doi.org/10.3354/meps323239")</f>
        <v>http://dx.doi.org/10.3354/meps323239</v>
      </c>
      <c r="BG150" t="s">
        <v>74</v>
      </c>
      <c r="BH150" t="s">
        <v>74</v>
      </c>
      <c r="BI150">
        <v>13</v>
      </c>
      <c r="BJ150" t="s">
        <v>2653</v>
      </c>
      <c r="BK150" t="s">
        <v>98</v>
      </c>
      <c r="BL150" t="s">
        <v>2654</v>
      </c>
      <c r="BM150" t="s">
        <v>2727</v>
      </c>
      <c r="BN150" t="s">
        <v>74</v>
      </c>
      <c r="BO150" t="s">
        <v>2728</v>
      </c>
      <c r="BP150" t="s">
        <v>74</v>
      </c>
      <c r="BQ150" t="s">
        <v>74</v>
      </c>
      <c r="BR150" t="s">
        <v>101</v>
      </c>
      <c r="BS150" t="s">
        <v>2729</v>
      </c>
      <c r="BT150" t="str">
        <f>HYPERLINK("https%3A%2F%2Fwww.webofscience.com%2Fwos%2Fwoscc%2Ffull-record%2FWOS:000241921700022","View Full Record in Web of Science")</f>
        <v>View Full Record in Web of Science</v>
      </c>
    </row>
    <row r="151" spans="1:72" x14ac:dyDescent="0.15">
      <c r="A151" t="s">
        <v>72</v>
      </c>
      <c r="B151" t="s">
        <v>2730</v>
      </c>
      <c r="C151" t="s">
        <v>74</v>
      </c>
      <c r="D151" t="s">
        <v>74</v>
      </c>
      <c r="E151" t="s">
        <v>74</v>
      </c>
      <c r="F151" t="s">
        <v>2731</v>
      </c>
      <c r="G151" t="s">
        <v>74</v>
      </c>
      <c r="H151" t="s">
        <v>74</v>
      </c>
      <c r="I151" t="s">
        <v>2732</v>
      </c>
      <c r="J151" t="s">
        <v>2635</v>
      </c>
      <c r="K151" t="s">
        <v>74</v>
      </c>
      <c r="L151" t="s">
        <v>74</v>
      </c>
      <c r="M151" t="s">
        <v>77</v>
      </c>
      <c r="N151" t="s">
        <v>78</v>
      </c>
      <c r="O151" t="s">
        <v>74</v>
      </c>
      <c r="P151" t="s">
        <v>74</v>
      </c>
      <c r="Q151" t="s">
        <v>74</v>
      </c>
      <c r="R151" t="s">
        <v>74</v>
      </c>
      <c r="S151" t="s">
        <v>74</v>
      </c>
      <c r="T151" t="s">
        <v>2733</v>
      </c>
      <c r="U151" t="s">
        <v>2734</v>
      </c>
      <c r="V151" t="s">
        <v>2735</v>
      </c>
      <c r="W151" t="s">
        <v>2736</v>
      </c>
      <c r="X151" t="s">
        <v>2737</v>
      </c>
      <c r="Y151" t="s">
        <v>2738</v>
      </c>
      <c r="Z151" t="s">
        <v>2739</v>
      </c>
      <c r="AA151" t="s">
        <v>2740</v>
      </c>
      <c r="AB151" t="s">
        <v>2741</v>
      </c>
      <c r="AC151" t="s">
        <v>74</v>
      </c>
      <c r="AD151" t="s">
        <v>74</v>
      </c>
      <c r="AE151" t="s">
        <v>74</v>
      </c>
      <c r="AF151" t="s">
        <v>74</v>
      </c>
      <c r="AG151">
        <v>50</v>
      </c>
      <c r="AH151">
        <v>75</v>
      </c>
      <c r="AI151">
        <v>82</v>
      </c>
      <c r="AJ151">
        <v>0</v>
      </c>
      <c r="AK151">
        <v>28</v>
      </c>
      <c r="AL151" t="s">
        <v>2645</v>
      </c>
      <c r="AM151" t="s">
        <v>2646</v>
      </c>
      <c r="AN151" t="s">
        <v>2647</v>
      </c>
      <c r="AO151" t="s">
        <v>2648</v>
      </c>
      <c r="AP151" t="s">
        <v>2649</v>
      </c>
      <c r="AQ151" t="s">
        <v>74</v>
      </c>
      <c r="AR151" t="s">
        <v>2650</v>
      </c>
      <c r="AS151" t="s">
        <v>2651</v>
      </c>
      <c r="AT151" t="s">
        <v>74</v>
      </c>
      <c r="AU151">
        <v>2006</v>
      </c>
      <c r="AV151">
        <v>323</v>
      </c>
      <c r="AW151" t="s">
        <v>74</v>
      </c>
      <c r="AX151" t="s">
        <v>74</v>
      </c>
      <c r="AY151" t="s">
        <v>74</v>
      </c>
      <c r="AZ151" t="s">
        <v>74</v>
      </c>
      <c r="BA151" t="s">
        <v>74</v>
      </c>
      <c r="BB151">
        <v>263</v>
      </c>
      <c r="BC151">
        <v>279</v>
      </c>
      <c r="BD151" t="s">
        <v>74</v>
      </c>
      <c r="BE151" t="s">
        <v>2742</v>
      </c>
      <c r="BF151" t="str">
        <f>HYPERLINK("http://dx.doi.org/10.3354/meps323263","http://dx.doi.org/10.3354/meps323263")</f>
        <v>http://dx.doi.org/10.3354/meps323263</v>
      </c>
      <c r="BG151" t="s">
        <v>74</v>
      </c>
      <c r="BH151" t="s">
        <v>74</v>
      </c>
      <c r="BI151">
        <v>17</v>
      </c>
      <c r="BJ151" t="s">
        <v>2653</v>
      </c>
      <c r="BK151" t="s">
        <v>98</v>
      </c>
      <c r="BL151" t="s">
        <v>2654</v>
      </c>
      <c r="BM151" t="s">
        <v>2727</v>
      </c>
      <c r="BN151" t="s">
        <v>74</v>
      </c>
      <c r="BO151" t="s">
        <v>2248</v>
      </c>
      <c r="BP151" t="s">
        <v>74</v>
      </c>
      <c r="BQ151" t="s">
        <v>74</v>
      </c>
      <c r="BR151" t="s">
        <v>101</v>
      </c>
      <c r="BS151" t="s">
        <v>2743</v>
      </c>
      <c r="BT151" t="str">
        <f>HYPERLINK("https%3A%2F%2Fwww.webofscience.com%2Fwos%2Fwoscc%2Ffull-record%2FWOS:000241921700024","View Full Record in Web of Science")</f>
        <v>View Full Record in Web of Science</v>
      </c>
    </row>
    <row r="152" spans="1:72" x14ac:dyDescent="0.15">
      <c r="A152" t="s">
        <v>72</v>
      </c>
      <c r="B152" t="s">
        <v>2744</v>
      </c>
      <c r="C152" t="s">
        <v>74</v>
      </c>
      <c r="D152" t="s">
        <v>74</v>
      </c>
      <c r="E152" t="s">
        <v>74</v>
      </c>
      <c r="F152" t="s">
        <v>2745</v>
      </c>
      <c r="G152" t="s">
        <v>74</v>
      </c>
      <c r="H152" t="s">
        <v>74</v>
      </c>
      <c r="I152" t="s">
        <v>2746</v>
      </c>
      <c r="J152" t="s">
        <v>2635</v>
      </c>
      <c r="K152" t="s">
        <v>74</v>
      </c>
      <c r="L152" t="s">
        <v>74</v>
      </c>
      <c r="M152" t="s">
        <v>77</v>
      </c>
      <c r="N152" t="s">
        <v>78</v>
      </c>
      <c r="O152" t="s">
        <v>74</v>
      </c>
      <c r="P152" t="s">
        <v>74</v>
      </c>
      <c r="Q152" t="s">
        <v>74</v>
      </c>
      <c r="R152" t="s">
        <v>74</v>
      </c>
      <c r="S152" t="s">
        <v>74</v>
      </c>
      <c r="T152" t="s">
        <v>2747</v>
      </c>
      <c r="U152" t="s">
        <v>2748</v>
      </c>
      <c r="V152" t="s">
        <v>2749</v>
      </c>
      <c r="W152" t="s">
        <v>2750</v>
      </c>
      <c r="X152" t="s">
        <v>2751</v>
      </c>
      <c r="Y152" t="s">
        <v>2752</v>
      </c>
      <c r="Z152" t="s">
        <v>2753</v>
      </c>
      <c r="AA152" t="s">
        <v>74</v>
      </c>
      <c r="AB152" t="s">
        <v>74</v>
      </c>
      <c r="AC152" t="s">
        <v>74</v>
      </c>
      <c r="AD152" t="s">
        <v>74</v>
      </c>
      <c r="AE152" t="s">
        <v>74</v>
      </c>
      <c r="AF152" t="s">
        <v>74</v>
      </c>
      <c r="AG152">
        <v>52</v>
      </c>
      <c r="AH152">
        <v>668</v>
      </c>
      <c r="AI152">
        <v>765</v>
      </c>
      <c r="AJ152">
        <v>5</v>
      </c>
      <c r="AK152">
        <v>232</v>
      </c>
      <c r="AL152" t="s">
        <v>2645</v>
      </c>
      <c r="AM152" t="s">
        <v>2646</v>
      </c>
      <c r="AN152" t="s">
        <v>2647</v>
      </c>
      <c r="AO152" t="s">
        <v>2648</v>
      </c>
      <c r="AP152" t="s">
        <v>74</v>
      </c>
      <c r="AQ152" t="s">
        <v>74</v>
      </c>
      <c r="AR152" t="s">
        <v>2650</v>
      </c>
      <c r="AS152" t="s">
        <v>2651</v>
      </c>
      <c r="AT152" t="s">
        <v>74</v>
      </c>
      <c r="AU152">
        <v>2006</v>
      </c>
      <c r="AV152">
        <v>322</v>
      </c>
      <c r="AW152" t="s">
        <v>74</v>
      </c>
      <c r="AX152" t="s">
        <v>74</v>
      </c>
      <c r="AY152" t="s">
        <v>74</v>
      </c>
      <c r="AZ152" t="s">
        <v>74</v>
      </c>
      <c r="BA152" t="s">
        <v>74</v>
      </c>
      <c r="BB152">
        <v>1</v>
      </c>
      <c r="BC152">
        <v>14</v>
      </c>
      <c r="BD152" t="s">
        <v>74</v>
      </c>
      <c r="BE152" t="s">
        <v>2754</v>
      </c>
      <c r="BF152" t="str">
        <f>HYPERLINK("http://dx.doi.org/10.3354/meps322001","http://dx.doi.org/10.3354/meps322001")</f>
        <v>http://dx.doi.org/10.3354/meps322001</v>
      </c>
      <c r="BG152" t="s">
        <v>74</v>
      </c>
      <c r="BH152" t="s">
        <v>74</v>
      </c>
      <c r="BI152">
        <v>14</v>
      </c>
      <c r="BJ152" t="s">
        <v>2653</v>
      </c>
      <c r="BK152" t="s">
        <v>98</v>
      </c>
      <c r="BL152" t="s">
        <v>2654</v>
      </c>
      <c r="BM152" t="s">
        <v>2755</v>
      </c>
      <c r="BN152" t="s">
        <v>74</v>
      </c>
      <c r="BO152" t="s">
        <v>1900</v>
      </c>
      <c r="BP152" t="s">
        <v>74</v>
      </c>
      <c r="BQ152" t="s">
        <v>74</v>
      </c>
      <c r="BR152" t="s">
        <v>101</v>
      </c>
      <c r="BS152" t="s">
        <v>2756</v>
      </c>
      <c r="BT152" t="str">
        <f>HYPERLINK("https%3A%2F%2Fwww.webofscience.com%2Fwos%2Fwoscc%2Ffull-record%2FWOS:000241515900001","View Full Record in Web of Science")</f>
        <v>View Full Record in Web of Science</v>
      </c>
    </row>
    <row r="153" spans="1:72" x14ac:dyDescent="0.15">
      <c r="A153" t="s">
        <v>72</v>
      </c>
      <c r="B153" t="s">
        <v>2757</v>
      </c>
      <c r="C153" t="s">
        <v>74</v>
      </c>
      <c r="D153" t="s">
        <v>74</v>
      </c>
      <c r="E153" t="s">
        <v>74</v>
      </c>
      <c r="F153" t="s">
        <v>2758</v>
      </c>
      <c r="G153" t="s">
        <v>74</v>
      </c>
      <c r="H153" t="s">
        <v>74</v>
      </c>
      <c r="I153" t="s">
        <v>2759</v>
      </c>
      <c r="J153" t="s">
        <v>2635</v>
      </c>
      <c r="K153" t="s">
        <v>74</v>
      </c>
      <c r="L153" t="s">
        <v>74</v>
      </c>
      <c r="M153" t="s">
        <v>77</v>
      </c>
      <c r="N153" t="s">
        <v>78</v>
      </c>
      <c r="O153" t="s">
        <v>74</v>
      </c>
      <c r="P153" t="s">
        <v>74</v>
      </c>
      <c r="Q153" t="s">
        <v>74</v>
      </c>
      <c r="R153" t="s">
        <v>74</v>
      </c>
      <c r="S153" t="s">
        <v>74</v>
      </c>
      <c r="T153" t="s">
        <v>2760</v>
      </c>
      <c r="U153" t="s">
        <v>2761</v>
      </c>
      <c r="V153" t="s">
        <v>2762</v>
      </c>
      <c r="W153" t="s">
        <v>2763</v>
      </c>
      <c r="X153" t="s">
        <v>2764</v>
      </c>
      <c r="Y153" t="s">
        <v>2765</v>
      </c>
      <c r="Z153" t="s">
        <v>918</v>
      </c>
      <c r="AA153" t="s">
        <v>2766</v>
      </c>
      <c r="AB153" t="s">
        <v>2767</v>
      </c>
      <c r="AC153" t="s">
        <v>74</v>
      </c>
      <c r="AD153" t="s">
        <v>74</v>
      </c>
      <c r="AE153" t="s">
        <v>74</v>
      </c>
      <c r="AF153" t="s">
        <v>74</v>
      </c>
      <c r="AG153">
        <v>25</v>
      </c>
      <c r="AH153">
        <v>40</v>
      </c>
      <c r="AI153">
        <v>42</v>
      </c>
      <c r="AJ153">
        <v>1</v>
      </c>
      <c r="AK153">
        <v>22</v>
      </c>
      <c r="AL153" t="s">
        <v>2645</v>
      </c>
      <c r="AM153" t="s">
        <v>2646</v>
      </c>
      <c r="AN153" t="s">
        <v>2647</v>
      </c>
      <c r="AO153" t="s">
        <v>2648</v>
      </c>
      <c r="AP153" t="s">
        <v>2649</v>
      </c>
      <c r="AQ153" t="s">
        <v>74</v>
      </c>
      <c r="AR153" t="s">
        <v>2650</v>
      </c>
      <c r="AS153" t="s">
        <v>2651</v>
      </c>
      <c r="AT153" t="s">
        <v>74</v>
      </c>
      <c r="AU153">
        <v>2006</v>
      </c>
      <c r="AV153">
        <v>322</v>
      </c>
      <c r="AW153" t="s">
        <v>74</v>
      </c>
      <c r="AX153" t="s">
        <v>74</v>
      </c>
      <c r="AY153" t="s">
        <v>74</v>
      </c>
      <c r="AZ153" t="s">
        <v>74</v>
      </c>
      <c r="BA153" t="s">
        <v>74</v>
      </c>
      <c r="BB153">
        <v>43</v>
      </c>
      <c r="BC153">
        <v>49</v>
      </c>
      <c r="BD153" t="s">
        <v>74</v>
      </c>
      <c r="BE153" t="s">
        <v>2768</v>
      </c>
      <c r="BF153" t="str">
        <f>HYPERLINK("http://dx.doi.org/10.3354/meps322043","http://dx.doi.org/10.3354/meps322043")</f>
        <v>http://dx.doi.org/10.3354/meps322043</v>
      </c>
      <c r="BG153" t="s">
        <v>74</v>
      </c>
      <c r="BH153" t="s">
        <v>74</v>
      </c>
      <c r="BI153">
        <v>7</v>
      </c>
      <c r="BJ153" t="s">
        <v>2653</v>
      </c>
      <c r="BK153" t="s">
        <v>98</v>
      </c>
      <c r="BL153" t="s">
        <v>2654</v>
      </c>
      <c r="BM153" t="s">
        <v>2755</v>
      </c>
      <c r="BN153" t="s">
        <v>74</v>
      </c>
      <c r="BO153" t="s">
        <v>2769</v>
      </c>
      <c r="BP153" t="s">
        <v>74</v>
      </c>
      <c r="BQ153" t="s">
        <v>74</v>
      </c>
      <c r="BR153" t="s">
        <v>101</v>
      </c>
      <c r="BS153" t="s">
        <v>2770</v>
      </c>
      <c r="BT153" t="str">
        <f>HYPERLINK("https%3A%2F%2Fwww.webofscience.com%2Fwos%2Fwoscc%2Ffull-record%2FWOS:000241515900004","View Full Record in Web of Science")</f>
        <v>View Full Record in Web of Science</v>
      </c>
    </row>
    <row r="154" spans="1:72" x14ac:dyDescent="0.15">
      <c r="A154" t="s">
        <v>72</v>
      </c>
      <c r="B154" t="s">
        <v>2771</v>
      </c>
      <c r="C154" t="s">
        <v>74</v>
      </c>
      <c r="D154" t="s">
        <v>74</v>
      </c>
      <c r="E154" t="s">
        <v>74</v>
      </c>
      <c r="F154" t="s">
        <v>2772</v>
      </c>
      <c r="G154" t="s">
        <v>74</v>
      </c>
      <c r="H154" t="s">
        <v>74</v>
      </c>
      <c r="I154" t="s">
        <v>2773</v>
      </c>
      <c r="J154" t="s">
        <v>2635</v>
      </c>
      <c r="K154" t="s">
        <v>74</v>
      </c>
      <c r="L154" t="s">
        <v>74</v>
      </c>
      <c r="M154" t="s">
        <v>77</v>
      </c>
      <c r="N154" t="s">
        <v>78</v>
      </c>
      <c r="O154" t="s">
        <v>74</v>
      </c>
      <c r="P154" t="s">
        <v>74</v>
      </c>
      <c r="Q154" t="s">
        <v>74</v>
      </c>
      <c r="R154" t="s">
        <v>74</v>
      </c>
      <c r="S154" t="s">
        <v>74</v>
      </c>
      <c r="T154" t="s">
        <v>2774</v>
      </c>
      <c r="U154" t="s">
        <v>2775</v>
      </c>
      <c r="V154" t="s">
        <v>2776</v>
      </c>
      <c r="W154" t="s">
        <v>2777</v>
      </c>
      <c r="X154" t="s">
        <v>2778</v>
      </c>
      <c r="Y154" t="s">
        <v>2779</v>
      </c>
      <c r="Z154" t="s">
        <v>2780</v>
      </c>
      <c r="AA154" t="s">
        <v>2781</v>
      </c>
      <c r="AB154" t="s">
        <v>2782</v>
      </c>
      <c r="AC154" t="s">
        <v>74</v>
      </c>
      <c r="AD154" t="s">
        <v>74</v>
      </c>
      <c r="AE154" t="s">
        <v>74</v>
      </c>
      <c r="AF154" t="s">
        <v>74</v>
      </c>
      <c r="AG154">
        <v>42</v>
      </c>
      <c r="AH154">
        <v>50</v>
      </c>
      <c r="AI154">
        <v>51</v>
      </c>
      <c r="AJ154">
        <v>0</v>
      </c>
      <c r="AK154">
        <v>26</v>
      </c>
      <c r="AL154" t="s">
        <v>2645</v>
      </c>
      <c r="AM154" t="s">
        <v>2646</v>
      </c>
      <c r="AN154" t="s">
        <v>2647</v>
      </c>
      <c r="AO154" t="s">
        <v>2648</v>
      </c>
      <c r="AP154" t="s">
        <v>2649</v>
      </c>
      <c r="AQ154" t="s">
        <v>74</v>
      </c>
      <c r="AR154" t="s">
        <v>2650</v>
      </c>
      <c r="AS154" t="s">
        <v>2651</v>
      </c>
      <c r="AT154" t="s">
        <v>74</v>
      </c>
      <c r="AU154">
        <v>2006</v>
      </c>
      <c r="AV154">
        <v>322</v>
      </c>
      <c r="AW154" t="s">
        <v>74</v>
      </c>
      <c r="AX154" t="s">
        <v>74</v>
      </c>
      <c r="AY154" t="s">
        <v>74</v>
      </c>
      <c r="AZ154" t="s">
        <v>74</v>
      </c>
      <c r="BA154" t="s">
        <v>74</v>
      </c>
      <c r="BB154">
        <v>199</v>
      </c>
      <c r="BC154">
        <v>211</v>
      </c>
      <c r="BD154" t="s">
        <v>74</v>
      </c>
      <c r="BE154" t="s">
        <v>2783</v>
      </c>
      <c r="BF154" t="str">
        <f>HYPERLINK("http://dx.doi.org/10.3354/meps322199","http://dx.doi.org/10.3354/meps322199")</f>
        <v>http://dx.doi.org/10.3354/meps322199</v>
      </c>
      <c r="BG154" t="s">
        <v>74</v>
      </c>
      <c r="BH154" t="s">
        <v>74</v>
      </c>
      <c r="BI154">
        <v>13</v>
      </c>
      <c r="BJ154" t="s">
        <v>2653</v>
      </c>
      <c r="BK154" t="s">
        <v>98</v>
      </c>
      <c r="BL154" t="s">
        <v>2654</v>
      </c>
      <c r="BM154" t="s">
        <v>2755</v>
      </c>
      <c r="BN154" t="s">
        <v>74</v>
      </c>
      <c r="BO154" t="s">
        <v>2276</v>
      </c>
      <c r="BP154" t="s">
        <v>74</v>
      </c>
      <c r="BQ154" t="s">
        <v>74</v>
      </c>
      <c r="BR154" t="s">
        <v>101</v>
      </c>
      <c r="BS154" t="s">
        <v>2784</v>
      </c>
      <c r="BT154" t="str">
        <f>HYPERLINK("https%3A%2F%2Fwww.webofscience.com%2Fwos%2Fwoscc%2Ffull-record%2FWOS:000241515900017","View Full Record in Web of Science")</f>
        <v>View Full Record in Web of Science</v>
      </c>
    </row>
    <row r="155" spans="1:72" x14ac:dyDescent="0.15">
      <c r="A155" t="s">
        <v>72</v>
      </c>
      <c r="B155" t="s">
        <v>2785</v>
      </c>
      <c r="C155" t="s">
        <v>74</v>
      </c>
      <c r="D155" t="s">
        <v>74</v>
      </c>
      <c r="E155" t="s">
        <v>74</v>
      </c>
      <c r="F155" t="s">
        <v>2786</v>
      </c>
      <c r="G155" t="s">
        <v>74</v>
      </c>
      <c r="H155" t="s">
        <v>74</v>
      </c>
      <c r="I155" t="s">
        <v>2787</v>
      </c>
      <c r="J155" t="s">
        <v>2635</v>
      </c>
      <c r="K155" t="s">
        <v>74</v>
      </c>
      <c r="L155" t="s">
        <v>74</v>
      </c>
      <c r="M155" t="s">
        <v>77</v>
      </c>
      <c r="N155" t="s">
        <v>78</v>
      </c>
      <c r="O155" t="s">
        <v>74</v>
      </c>
      <c r="P155" t="s">
        <v>74</v>
      </c>
      <c r="Q155" t="s">
        <v>74</v>
      </c>
      <c r="R155" t="s">
        <v>74</v>
      </c>
      <c r="S155" t="s">
        <v>74</v>
      </c>
      <c r="T155" t="s">
        <v>2788</v>
      </c>
      <c r="U155" t="s">
        <v>2789</v>
      </c>
      <c r="V155" t="s">
        <v>2790</v>
      </c>
      <c r="W155" t="s">
        <v>2791</v>
      </c>
      <c r="X155" t="s">
        <v>2792</v>
      </c>
      <c r="Y155" t="s">
        <v>2793</v>
      </c>
      <c r="Z155" t="s">
        <v>2794</v>
      </c>
      <c r="AA155" t="s">
        <v>74</v>
      </c>
      <c r="AB155" t="s">
        <v>74</v>
      </c>
      <c r="AC155" t="s">
        <v>74</v>
      </c>
      <c r="AD155" t="s">
        <v>74</v>
      </c>
      <c r="AE155" t="s">
        <v>74</v>
      </c>
      <c r="AF155" t="s">
        <v>74</v>
      </c>
      <c r="AG155">
        <v>49</v>
      </c>
      <c r="AH155">
        <v>45</v>
      </c>
      <c r="AI155">
        <v>55</v>
      </c>
      <c r="AJ155">
        <v>0</v>
      </c>
      <c r="AK155">
        <v>31</v>
      </c>
      <c r="AL155" t="s">
        <v>2645</v>
      </c>
      <c r="AM155" t="s">
        <v>2646</v>
      </c>
      <c r="AN155" t="s">
        <v>2647</v>
      </c>
      <c r="AO155" t="s">
        <v>2648</v>
      </c>
      <c r="AP155" t="s">
        <v>2649</v>
      </c>
      <c r="AQ155" t="s">
        <v>74</v>
      </c>
      <c r="AR155" t="s">
        <v>2650</v>
      </c>
      <c r="AS155" t="s">
        <v>2651</v>
      </c>
      <c r="AT155" t="s">
        <v>74</v>
      </c>
      <c r="AU155">
        <v>2006</v>
      </c>
      <c r="AV155">
        <v>319</v>
      </c>
      <c r="AW155" t="s">
        <v>74</v>
      </c>
      <c r="AX155" t="s">
        <v>74</v>
      </c>
      <c r="AY155" t="s">
        <v>74</v>
      </c>
      <c r="AZ155" t="s">
        <v>74</v>
      </c>
      <c r="BA155" t="s">
        <v>74</v>
      </c>
      <c r="BB155">
        <v>155</v>
      </c>
      <c r="BC155">
        <v>165</v>
      </c>
      <c r="BD155" t="s">
        <v>74</v>
      </c>
      <c r="BE155" t="s">
        <v>2795</v>
      </c>
      <c r="BF155" t="str">
        <f>HYPERLINK("http://dx.doi.org/10.3354/meps319155","http://dx.doi.org/10.3354/meps319155")</f>
        <v>http://dx.doi.org/10.3354/meps319155</v>
      </c>
      <c r="BG155" t="s">
        <v>74</v>
      </c>
      <c r="BH155" t="s">
        <v>74</v>
      </c>
      <c r="BI155">
        <v>11</v>
      </c>
      <c r="BJ155" t="s">
        <v>2653</v>
      </c>
      <c r="BK155" t="s">
        <v>98</v>
      </c>
      <c r="BL155" t="s">
        <v>2654</v>
      </c>
      <c r="BM155" t="s">
        <v>2796</v>
      </c>
      <c r="BN155" t="s">
        <v>74</v>
      </c>
      <c r="BO155" t="s">
        <v>1900</v>
      </c>
      <c r="BP155" t="s">
        <v>74</v>
      </c>
      <c r="BQ155" t="s">
        <v>74</v>
      </c>
      <c r="BR155" t="s">
        <v>101</v>
      </c>
      <c r="BS155" t="s">
        <v>2797</v>
      </c>
      <c r="BT155" t="str">
        <f>HYPERLINK("https%3A%2F%2Fwww.webofscience.com%2Fwos%2Fwoscc%2Ffull-record%2FWOS:000241102600014","View Full Record in Web of Science")</f>
        <v>View Full Record in Web of Science</v>
      </c>
    </row>
    <row r="156" spans="1:72" x14ac:dyDescent="0.15">
      <c r="A156" t="s">
        <v>72</v>
      </c>
      <c r="B156" t="s">
        <v>2798</v>
      </c>
      <c r="C156" t="s">
        <v>74</v>
      </c>
      <c r="D156" t="s">
        <v>74</v>
      </c>
      <c r="E156" t="s">
        <v>74</v>
      </c>
      <c r="F156" t="s">
        <v>2799</v>
      </c>
      <c r="G156" t="s">
        <v>74</v>
      </c>
      <c r="H156" t="s">
        <v>74</v>
      </c>
      <c r="I156" t="s">
        <v>2800</v>
      </c>
      <c r="J156" t="s">
        <v>2635</v>
      </c>
      <c r="K156" t="s">
        <v>74</v>
      </c>
      <c r="L156" t="s">
        <v>74</v>
      </c>
      <c r="M156" t="s">
        <v>77</v>
      </c>
      <c r="N156" t="s">
        <v>78</v>
      </c>
      <c r="O156" t="s">
        <v>74</v>
      </c>
      <c r="P156" t="s">
        <v>74</v>
      </c>
      <c r="Q156" t="s">
        <v>74</v>
      </c>
      <c r="R156" t="s">
        <v>74</v>
      </c>
      <c r="S156" t="s">
        <v>74</v>
      </c>
      <c r="T156" t="s">
        <v>2801</v>
      </c>
      <c r="U156" t="s">
        <v>2802</v>
      </c>
      <c r="V156" t="s">
        <v>2803</v>
      </c>
      <c r="W156" t="s">
        <v>801</v>
      </c>
      <c r="X156" t="s">
        <v>788</v>
      </c>
      <c r="Y156" t="s">
        <v>2804</v>
      </c>
      <c r="Z156" t="s">
        <v>2805</v>
      </c>
      <c r="AA156" t="s">
        <v>74</v>
      </c>
      <c r="AB156" t="s">
        <v>74</v>
      </c>
      <c r="AC156" t="s">
        <v>74</v>
      </c>
      <c r="AD156" t="s">
        <v>74</v>
      </c>
      <c r="AE156" t="s">
        <v>74</v>
      </c>
      <c r="AF156" t="s">
        <v>74</v>
      </c>
      <c r="AG156">
        <v>47</v>
      </c>
      <c r="AH156">
        <v>38</v>
      </c>
      <c r="AI156">
        <v>39</v>
      </c>
      <c r="AJ156">
        <v>0</v>
      </c>
      <c r="AK156">
        <v>16</v>
      </c>
      <c r="AL156" t="s">
        <v>2645</v>
      </c>
      <c r="AM156" t="s">
        <v>2646</v>
      </c>
      <c r="AN156" t="s">
        <v>2647</v>
      </c>
      <c r="AO156" t="s">
        <v>2648</v>
      </c>
      <c r="AP156" t="s">
        <v>2649</v>
      </c>
      <c r="AQ156" t="s">
        <v>74</v>
      </c>
      <c r="AR156" t="s">
        <v>2650</v>
      </c>
      <c r="AS156" t="s">
        <v>2651</v>
      </c>
      <c r="AT156" t="s">
        <v>74</v>
      </c>
      <c r="AU156">
        <v>2006</v>
      </c>
      <c r="AV156">
        <v>318</v>
      </c>
      <c r="AW156" t="s">
        <v>74</v>
      </c>
      <c r="AX156" t="s">
        <v>74</v>
      </c>
      <c r="AY156" t="s">
        <v>74</v>
      </c>
      <c r="AZ156" t="s">
        <v>74</v>
      </c>
      <c r="BA156" t="s">
        <v>74</v>
      </c>
      <c r="BB156">
        <v>213</v>
      </c>
      <c r="BC156">
        <v>220</v>
      </c>
      <c r="BD156" t="s">
        <v>74</v>
      </c>
      <c r="BE156" t="s">
        <v>2806</v>
      </c>
      <c r="BF156" t="str">
        <f>HYPERLINK("http://dx.doi.org/10.3354/meps318213","http://dx.doi.org/10.3354/meps318213")</f>
        <v>http://dx.doi.org/10.3354/meps318213</v>
      </c>
      <c r="BG156" t="s">
        <v>74</v>
      </c>
      <c r="BH156" t="s">
        <v>74</v>
      </c>
      <c r="BI156">
        <v>8</v>
      </c>
      <c r="BJ156" t="s">
        <v>2653</v>
      </c>
      <c r="BK156" t="s">
        <v>98</v>
      </c>
      <c r="BL156" t="s">
        <v>2654</v>
      </c>
      <c r="BM156" t="s">
        <v>2807</v>
      </c>
      <c r="BN156" t="s">
        <v>74</v>
      </c>
      <c r="BO156" t="s">
        <v>2656</v>
      </c>
      <c r="BP156" t="s">
        <v>74</v>
      </c>
      <c r="BQ156" t="s">
        <v>74</v>
      </c>
      <c r="BR156" t="s">
        <v>101</v>
      </c>
      <c r="BS156" t="s">
        <v>2808</v>
      </c>
      <c r="BT156" t="str">
        <f>HYPERLINK("https%3A%2F%2Fwww.webofscience.com%2Fwos%2Fwoscc%2Ffull-record%2FWOS:000240370000018","View Full Record in Web of Science")</f>
        <v>View Full Record in Web of Science</v>
      </c>
    </row>
    <row r="157" spans="1:72" x14ac:dyDescent="0.15">
      <c r="A157" t="s">
        <v>72</v>
      </c>
      <c r="B157" t="s">
        <v>2809</v>
      </c>
      <c r="C157" t="s">
        <v>74</v>
      </c>
      <c r="D157" t="s">
        <v>74</v>
      </c>
      <c r="E157" t="s">
        <v>74</v>
      </c>
      <c r="F157" t="s">
        <v>2810</v>
      </c>
      <c r="G157" t="s">
        <v>74</v>
      </c>
      <c r="H157" t="s">
        <v>74</v>
      </c>
      <c r="I157" t="s">
        <v>2811</v>
      </c>
      <c r="J157" t="s">
        <v>2635</v>
      </c>
      <c r="K157" t="s">
        <v>74</v>
      </c>
      <c r="L157" t="s">
        <v>74</v>
      </c>
      <c r="M157" t="s">
        <v>77</v>
      </c>
      <c r="N157" t="s">
        <v>78</v>
      </c>
      <c r="O157" t="s">
        <v>74</v>
      </c>
      <c r="P157" t="s">
        <v>74</v>
      </c>
      <c r="Q157" t="s">
        <v>74</v>
      </c>
      <c r="R157" t="s">
        <v>74</v>
      </c>
      <c r="S157" t="s">
        <v>74</v>
      </c>
      <c r="T157" t="s">
        <v>2812</v>
      </c>
      <c r="U157" t="s">
        <v>2813</v>
      </c>
      <c r="V157" t="s">
        <v>2814</v>
      </c>
      <c r="W157" t="s">
        <v>2815</v>
      </c>
      <c r="X157" t="s">
        <v>2816</v>
      </c>
      <c r="Y157" t="s">
        <v>2817</v>
      </c>
      <c r="Z157" t="s">
        <v>2818</v>
      </c>
      <c r="AA157" t="s">
        <v>74</v>
      </c>
      <c r="AB157" t="s">
        <v>2819</v>
      </c>
      <c r="AC157" t="s">
        <v>74</v>
      </c>
      <c r="AD157" t="s">
        <v>74</v>
      </c>
      <c r="AE157" t="s">
        <v>74</v>
      </c>
      <c r="AF157" t="s">
        <v>74</v>
      </c>
      <c r="AG157">
        <v>74</v>
      </c>
      <c r="AH157">
        <v>13</v>
      </c>
      <c r="AI157">
        <v>18</v>
      </c>
      <c r="AJ157">
        <v>0</v>
      </c>
      <c r="AK157">
        <v>15</v>
      </c>
      <c r="AL157" t="s">
        <v>2645</v>
      </c>
      <c r="AM157" t="s">
        <v>2646</v>
      </c>
      <c r="AN157" t="s">
        <v>2647</v>
      </c>
      <c r="AO157" t="s">
        <v>2648</v>
      </c>
      <c r="AP157" t="s">
        <v>74</v>
      </c>
      <c r="AQ157" t="s">
        <v>74</v>
      </c>
      <c r="AR157" t="s">
        <v>2650</v>
      </c>
      <c r="AS157" t="s">
        <v>2651</v>
      </c>
      <c r="AT157" t="s">
        <v>74</v>
      </c>
      <c r="AU157">
        <v>2006</v>
      </c>
      <c r="AV157">
        <v>317</v>
      </c>
      <c r="AW157" t="s">
        <v>74</v>
      </c>
      <c r="AX157" t="s">
        <v>74</v>
      </c>
      <c r="AY157" t="s">
        <v>74</v>
      </c>
      <c r="AZ157" t="s">
        <v>74</v>
      </c>
      <c r="BA157" t="s">
        <v>74</v>
      </c>
      <c r="BB157">
        <v>111</v>
      </c>
      <c r="BC157">
        <v>126</v>
      </c>
      <c r="BD157" t="s">
        <v>74</v>
      </c>
      <c r="BE157" t="s">
        <v>2820</v>
      </c>
      <c r="BF157" t="str">
        <f>HYPERLINK("http://dx.doi.org/10.3354/meps317111","http://dx.doi.org/10.3354/meps317111")</f>
        <v>http://dx.doi.org/10.3354/meps317111</v>
      </c>
      <c r="BG157" t="s">
        <v>74</v>
      </c>
      <c r="BH157" t="s">
        <v>74</v>
      </c>
      <c r="BI157">
        <v>16</v>
      </c>
      <c r="BJ157" t="s">
        <v>2653</v>
      </c>
      <c r="BK157" t="s">
        <v>98</v>
      </c>
      <c r="BL157" t="s">
        <v>2654</v>
      </c>
      <c r="BM157" t="s">
        <v>2821</v>
      </c>
      <c r="BN157" t="s">
        <v>74</v>
      </c>
      <c r="BO157" t="s">
        <v>1900</v>
      </c>
      <c r="BP157" t="s">
        <v>74</v>
      </c>
      <c r="BQ157" t="s">
        <v>74</v>
      </c>
      <c r="BR157" t="s">
        <v>101</v>
      </c>
      <c r="BS157" t="s">
        <v>2822</v>
      </c>
      <c r="BT157" t="str">
        <f>HYPERLINK("https%3A%2F%2Fwww.webofscience.com%2Fwos%2Fwoscc%2Ffull-record%2FWOS:000239896600011","View Full Record in Web of Science")</f>
        <v>View Full Record in Web of Science</v>
      </c>
    </row>
    <row r="158" spans="1:72" x14ac:dyDescent="0.15">
      <c r="A158" t="s">
        <v>72</v>
      </c>
      <c r="B158" t="s">
        <v>2823</v>
      </c>
      <c r="C158" t="s">
        <v>74</v>
      </c>
      <c r="D158" t="s">
        <v>74</v>
      </c>
      <c r="E158" t="s">
        <v>74</v>
      </c>
      <c r="F158" t="s">
        <v>2824</v>
      </c>
      <c r="G158" t="s">
        <v>74</v>
      </c>
      <c r="H158" t="s">
        <v>74</v>
      </c>
      <c r="I158" t="s">
        <v>2825</v>
      </c>
      <c r="J158" t="s">
        <v>2635</v>
      </c>
      <c r="K158" t="s">
        <v>74</v>
      </c>
      <c r="L158" t="s">
        <v>74</v>
      </c>
      <c r="M158" t="s">
        <v>77</v>
      </c>
      <c r="N158" t="s">
        <v>78</v>
      </c>
      <c r="O158" t="s">
        <v>74</v>
      </c>
      <c r="P158" t="s">
        <v>74</v>
      </c>
      <c r="Q158" t="s">
        <v>74</v>
      </c>
      <c r="R158" t="s">
        <v>74</v>
      </c>
      <c r="S158" t="s">
        <v>74</v>
      </c>
      <c r="T158" t="s">
        <v>2826</v>
      </c>
      <c r="U158" t="s">
        <v>2827</v>
      </c>
      <c r="V158" t="s">
        <v>2828</v>
      </c>
      <c r="W158" t="s">
        <v>2829</v>
      </c>
      <c r="X158" t="s">
        <v>2830</v>
      </c>
      <c r="Y158" t="s">
        <v>2831</v>
      </c>
      <c r="Z158" t="s">
        <v>2832</v>
      </c>
      <c r="AA158" t="s">
        <v>2833</v>
      </c>
      <c r="AB158" t="s">
        <v>2834</v>
      </c>
      <c r="AC158" t="s">
        <v>74</v>
      </c>
      <c r="AD158" t="s">
        <v>74</v>
      </c>
      <c r="AE158" t="s">
        <v>74</v>
      </c>
      <c r="AF158" t="s">
        <v>74</v>
      </c>
      <c r="AG158">
        <v>60</v>
      </c>
      <c r="AH158">
        <v>174</v>
      </c>
      <c r="AI158">
        <v>210</v>
      </c>
      <c r="AJ158">
        <v>3</v>
      </c>
      <c r="AK158">
        <v>79</v>
      </c>
      <c r="AL158" t="s">
        <v>2645</v>
      </c>
      <c r="AM158" t="s">
        <v>2646</v>
      </c>
      <c r="AN158" t="s">
        <v>2647</v>
      </c>
      <c r="AO158" t="s">
        <v>2648</v>
      </c>
      <c r="AP158" t="s">
        <v>2649</v>
      </c>
      <c r="AQ158" t="s">
        <v>74</v>
      </c>
      <c r="AR158" t="s">
        <v>2650</v>
      </c>
      <c r="AS158" t="s">
        <v>2651</v>
      </c>
      <c r="AT158" t="s">
        <v>74</v>
      </c>
      <c r="AU158">
        <v>2006</v>
      </c>
      <c r="AV158">
        <v>317</v>
      </c>
      <c r="AW158" t="s">
        <v>74</v>
      </c>
      <c r="AX158" t="s">
        <v>74</v>
      </c>
      <c r="AY158" t="s">
        <v>74</v>
      </c>
      <c r="AZ158" t="s">
        <v>74</v>
      </c>
      <c r="BA158" t="s">
        <v>74</v>
      </c>
      <c r="BB158">
        <v>297</v>
      </c>
      <c r="BC158">
        <v>310</v>
      </c>
      <c r="BD158" t="s">
        <v>74</v>
      </c>
      <c r="BE158" t="s">
        <v>2835</v>
      </c>
      <c r="BF158" t="str">
        <f>HYPERLINK("http://dx.doi.org/10.3354/meps317297","http://dx.doi.org/10.3354/meps317297")</f>
        <v>http://dx.doi.org/10.3354/meps317297</v>
      </c>
      <c r="BG158" t="s">
        <v>74</v>
      </c>
      <c r="BH158" t="s">
        <v>74</v>
      </c>
      <c r="BI158">
        <v>14</v>
      </c>
      <c r="BJ158" t="s">
        <v>2653</v>
      </c>
      <c r="BK158" t="s">
        <v>98</v>
      </c>
      <c r="BL158" t="s">
        <v>2654</v>
      </c>
      <c r="BM158" t="s">
        <v>2821</v>
      </c>
      <c r="BN158" t="s">
        <v>74</v>
      </c>
      <c r="BO158" t="s">
        <v>2836</v>
      </c>
      <c r="BP158" t="s">
        <v>74</v>
      </c>
      <c r="BQ158" t="s">
        <v>74</v>
      </c>
      <c r="BR158" t="s">
        <v>101</v>
      </c>
      <c r="BS158" t="s">
        <v>2837</v>
      </c>
      <c r="BT158" t="str">
        <f>HYPERLINK("https%3A%2F%2Fwww.webofscience.com%2Fwos%2Fwoscc%2Ffull-record%2FWOS:000239896600026","View Full Record in Web of Science")</f>
        <v>View Full Record in Web of Science</v>
      </c>
    </row>
    <row r="159" spans="1:72" x14ac:dyDescent="0.15">
      <c r="A159" t="s">
        <v>72</v>
      </c>
      <c r="B159" t="s">
        <v>2838</v>
      </c>
      <c r="C159" t="s">
        <v>74</v>
      </c>
      <c r="D159" t="s">
        <v>74</v>
      </c>
      <c r="E159" t="s">
        <v>74</v>
      </c>
      <c r="F159" t="s">
        <v>2839</v>
      </c>
      <c r="G159" t="s">
        <v>74</v>
      </c>
      <c r="H159" t="s">
        <v>74</v>
      </c>
      <c r="I159" t="s">
        <v>2840</v>
      </c>
      <c r="J159" t="s">
        <v>2635</v>
      </c>
      <c r="K159" t="s">
        <v>74</v>
      </c>
      <c r="L159" t="s">
        <v>74</v>
      </c>
      <c r="M159" t="s">
        <v>77</v>
      </c>
      <c r="N159" t="s">
        <v>78</v>
      </c>
      <c r="O159" t="s">
        <v>74</v>
      </c>
      <c r="P159" t="s">
        <v>74</v>
      </c>
      <c r="Q159" t="s">
        <v>74</v>
      </c>
      <c r="R159" t="s">
        <v>74</v>
      </c>
      <c r="S159" t="s">
        <v>74</v>
      </c>
      <c r="T159" t="s">
        <v>2841</v>
      </c>
      <c r="U159" t="s">
        <v>2842</v>
      </c>
      <c r="V159" t="s">
        <v>2843</v>
      </c>
      <c r="W159" t="s">
        <v>2844</v>
      </c>
      <c r="X159" t="s">
        <v>788</v>
      </c>
      <c r="Y159" t="s">
        <v>2845</v>
      </c>
      <c r="Z159" t="s">
        <v>2846</v>
      </c>
      <c r="AA159" t="s">
        <v>74</v>
      </c>
      <c r="AB159" t="s">
        <v>74</v>
      </c>
      <c r="AC159" t="s">
        <v>2847</v>
      </c>
      <c r="AD159" t="s">
        <v>720</v>
      </c>
      <c r="AE159" t="s">
        <v>74</v>
      </c>
      <c r="AF159" t="s">
        <v>74</v>
      </c>
      <c r="AG159">
        <v>53</v>
      </c>
      <c r="AH159">
        <v>93</v>
      </c>
      <c r="AI159">
        <v>100</v>
      </c>
      <c r="AJ159">
        <v>0</v>
      </c>
      <c r="AK159">
        <v>33</v>
      </c>
      <c r="AL159" t="s">
        <v>2645</v>
      </c>
      <c r="AM159" t="s">
        <v>2646</v>
      </c>
      <c r="AN159" t="s">
        <v>2647</v>
      </c>
      <c r="AO159" t="s">
        <v>2648</v>
      </c>
      <c r="AP159" t="s">
        <v>2649</v>
      </c>
      <c r="AQ159" t="s">
        <v>74</v>
      </c>
      <c r="AR159" t="s">
        <v>2650</v>
      </c>
      <c r="AS159" t="s">
        <v>2651</v>
      </c>
      <c r="AT159" t="s">
        <v>74</v>
      </c>
      <c r="AU159">
        <v>2006</v>
      </c>
      <c r="AV159">
        <v>316</v>
      </c>
      <c r="AW159" t="s">
        <v>74</v>
      </c>
      <c r="AX159" t="s">
        <v>74</v>
      </c>
      <c r="AY159" t="s">
        <v>74</v>
      </c>
      <c r="AZ159" t="s">
        <v>74</v>
      </c>
      <c r="BA159" t="s">
        <v>74</v>
      </c>
      <c r="BB159">
        <v>1</v>
      </c>
      <c r="BC159">
        <v>16</v>
      </c>
      <c r="BD159" t="s">
        <v>74</v>
      </c>
      <c r="BE159" t="s">
        <v>2848</v>
      </c>
      <c r="BF159" t="str">
        <f>HYPERLINK("http://dx.doi.org/10.3354/meps316001","http://dx.doi.org/10.3354/meps316001")</f>
        <v>http://dx.doi.org/10.3354/meps316001</v>
      </c>
      <c r="BG159" t="s">
        <v>74</v>
      </c>
      <c r="BH159" t="s">
        <v>74</v>
      </c>
      <c r="BI159">
        <v>16</v>
      </c>
      <c r="BJ159" t="s">
        <v>2653</v>
      </c>
      <c r="BK159" t="s">
        <v>98</v>
      </c>
      <c r="BL159" t="s">
        <v>2654</v>
      </c>
      <c r="BM159" t="s">
        <v>2849</v>
      </c>
      <c r="BN159" t="s">
        <v>74</v>
      </c>
      <c r="BO159" t="s">
        <v>2728</v>
      </c>
      <c r="BP159" t="s">
        <v>74</v>
      </c>
      <c r="BQ159" t="s">
        <v>74</v>
      </c>
      <c r="BR159" t="s">
        <v>101</v>
      </c>
      <c r="BS159" t="s">
        <v>2850</v>
      </c>
      <c r="BT159" t="str">
        <f>HYPERLINK("https%3A%2F%2Fwww.webofscience.com%2Fwos%2Fwoscc%2Ffull-record%2FWOS:000239512600001","View Full Record in Web of Science")</f>
        <v>View Full Record in Web of Science</v>
      </c>
    </row>
    <row r="160" spans="1:72" x14ac:dyDescent="0.15">
      <c r="A160" t="s">
        <v>72</v>
      </c>
      <c r="B160" t="s">
        <v>2851</v>
      </c>
      <c r="C160" t="s">
        <v>74</v>
      </c>
      <c r="D160" t="s">
        <v>74</v>
      </c>
      <c r="E160" t="s">
        <v>74</v>
      </c>
      <c r="F160" t="s">
        <v>2852</v>
      </c>
      <c r="G160" t="s">
        <v>74</v>
      </c>
      <c r="H160" t="s">
        <v>74</v>
      </c>
      <c r="I160" t="s">
        <v>2853</v>
      </c>
      <c r="J160" t="s">
        <v>2635</v>
      </c>
      <c r="K160" t="s">
        <v>74</v>
      </c>
      <c r="L160" t="s">
        <v>74</v>
      </c>
      <c r="M160" t="s">
        <v>77</v>
      </c>
      <c r="N160" t="s">
        <v>78</v>
      </c>
      <c r="O160" t="s">
        <v>74</v>
      </c>
      <c r="P160" t="s">
        <v>74</v>
      </c>
      <c r="Q160" t="s">
        <v>74</v>
      </c>
      <c r="R160" t="s">
        <v>74</v>
      </c>
      <c r="S160" t="s">
        <v>74</v>
      </c>
      <c r="T160" t="s">
        <v>2854</v>
      </c>
      <c r="U160" t="s">
        <v>2855</v>
      </c>
      <c r="V160" t="s">
        <v>2856</v>
      </c>
      <c r="W160" t="s">
        <v>2857</v>
      </c>
      <c r="X160" t="s">
        <v>2858</v>
      </c>
      <c r="Y160" t="s">
        <v>2859</v>
      </c>
      <c r="Z160" t="s">
        <v>2860</v>
      </c>
      <c r="AA160" t="s">
        <v>2861</v>
      </c>
      <c r="AB160" t="s">
        <v>2862</v>
      </c>
      <c r="AC160" t="s">
        <v>74</v>
      </c>
      <c r="AD160" t="s">
        <v>74</v>
      </c>
      <c r="AE160" t="s">
        <v>74</v>
      </c>
      <c r="AF160" t="s">
        <v>74</v>
      </c>
      <c r="AG160">
        <v>25</v>
      </c>
      <c r="AH160">
        <v>66</v>
      </c>
      <c r="AI160">
        <v>78</v>
      </c>
      <c r="AJ160">
        <v>3</v>
      </c>
      <c r="AK160">
        <v>22</v>
      </c>
      <c r="AL160" t="s">
        <v>2645</v>
      </c>
      <c r="AM160" t="s">
        <v>2646</v>
      </c>
      <c r="AN160" t="s">
        <v>2647</v>
      </c>
      <c r="AO160" t="s">
        <v>2648</v>
      </c>
      <c r="AP160" t="s">
        <v>74</v>
      </c>
      <c r="AQ160" t="s">
        <v>74</v>
      </c>
      <c r="AR160" t="s">
        <v>2650</v>
      </c>
      <c r="AS160" t="s">
        <v>2651</v>
      </c>
      <c r="AT160" t="s">
        <v>74</v>
      </c>
      <c r="AU160">
        <v>2006</v>
      </c>
      <c r="AV160">
        <v>316</v>
      </c>
      <c r="AW160" t="s">
        <v>74</v>
      </c>
      <c r="AX160" t="s">
        <v>74</v>
      </c>
      <c r="AY160" t="s">
        <v>74</v>
      </c>
      <c r="AZ160" t="s">
        <v>74</v>
      </c>
      <c r="BA160" t="s">
        <v>74</v>
      </c>
      <c r="BB160">
        <v>17</v>
      </c>
      <c r="BC160">
        <v>22</v>
      </c>
      <c r="BD160" t="s">
        <v>74</v>
      </c>
      <c r="BE160" t="s">
        <v>2863</v>
      </c>
      <c r="BF160" t="str">
        <f>HYPERLINK("http://dx.doi.org/10.3354/meps316017","http://dx.doi.org/10.3354/meps316017")</f>
        <v>http://dx.doi.org/10.3354/meps316017</v>
      </c>
      <c r="BG160" t="s">
        <v>74</v>
      </c>
      <c r="BH160" t="s">
        <v>74</v>
      </c>
      <c r="BI160">
        <v>6</v>
      </c>
      <c r="BJ160" t="s">
        <v>2653</v>
      </c>
      <c r="BK160" t="s">
        <v>98</v>
      </c>
      <c r="BL160" t="s">
        <v>2654</v>
      </c>
      <c r="BM160" t="s">
        <v>2849</v>
      </c>
      <c r="BN160" t="s">
        <v>74</v>
      </c>
      <c r="BO160" t="s">
        <v>1900</v>
      </c>
      <c r="BP160" t="s">
        <v>74</v>
      </c>
      <c r="BQ160" t="s">
        <v>74</v>
      </c>
      <c r="BR160" t="s">
        <v>101</v>
      </c>
      <c r="BS160" t="s">
        <v>2864</v>
      </c>
      <c r="BT160" t="str">
        <f>HYPERLINK("https%3A%2F%2Fwww.webofscience.com%2Fwos%2Fwoscc%2Ffull-record%2FWOS:000239512600002","View Full Record in Web of Science")</f>
        <v>View Full Record in Web of Science</v>
      </c>
    </row>
    <row r="161" spans="1:72" x14ac:dyDescent="0.15">
      <c r="A161" t="s">
        <v>72</v>
      </c>
      <c r="B161" t="s">
        <v>2865</v>
      </c>
      <c r="C161" t="s">
        <v>74</v>
      </c>
      <c r="D161" t="s">
        <v>74</v>
      </c>
      <c r="E161" t="s">
        <v>74</v>
      </c>
      <c r="F161" t="s">
        <v>2866</v>
      </c>
      <c r="G161" t="s">
        <v>74</v>
      </c>
      <c r="H161" t="s">
        <v>74</v>
      </c>
      <c r="I161" t="s">
        <v>2867</v>
      </c>
      <c r="J161" t="s">
        <v>2635</v>
      </c>
      <c r="K161" t="s">
        <v>74</v>
      </c>
      <c r="L161" t="s">
        <v>74</v>
      </c>
      <c r="M161" t="s">
        <v>77</v>
      </c>
      <c r="N161" t="s">
        <v>289</v>
      </c>
      <c r="O161" t="s">
        <v>74</v>
      </c>
      <c r="P161" t="s">
        <v>74</v>
      </c>
      <c r="Q161" t="s">
        <v>74</v>
      </c>
      <c r="R161" t="s">
        <v>74</v>
      </c>
      <c r="S161" t="s">
        <v>74</v>
      </c>
      <c r="T161" t="s">
        <v>2868</v>
      </c>
      <c r="U161" t="s">
        <v>2869</v>
      </c>
      <c r="V161" t="s">
        <v>2870</v>
      </c>
      <c r="W161" t="s">
        <v>2871</v>
      </c>
      <c r="X161" t="s">
        <v>2872</v>
      </c>
      <c r="Y161" t="s">
        <v>2873</v>
      </c>
      <c r="Z161" t="s">
        <v>2874</v>
      </c>
      <c r="AA161" t="s">
        <v>2875</v>
      </c>
      <c r="AB161" t="s">
        <v>2876</v>
      </c>
      <c r="AC161" t="s">
        <v>74</v>
      </c>
      <c r="AD161" t="s">
        <v>74</v>
      </c>
      <c r="AE161" t="s">
        <v>74</v>
      </c>
      <c r="AF161" t="s">
        <v>74</v>
      </c>
      <c r="AG161">
        <v>176</v>
      </c>
      <c r="AH161">
        <v>183</v>
      </c>
      <c r="AI161">
        <v>203</v>
      </c>
      <c r="AJ161">
        <v>3</v>
      </c>
      <c r="AK161">
        <v>184</v>
      </c>
      <c r="AL161" t="s">
        <v>2645</v>
      </c>
      <c r="AM161" t="s">
        <v>2646</v>
      </c>
      <c r="AN161" t="s">
        <v>2647</v>
      </c>
      <c r="AO161" t="s">
        <v>2648</v>
      </c>
      <c r="AP161" t="s">
        <v>2649</v>
      </c>
      <c r="AQ161" t="s">
        <v>74</v>
      </c>
      <c r="AR161" t="s">
        <v>2650</v>
      </c>
      <c r="AS161" t="s">
        <v>2651</v>
      </c>
      <c r="AT161" t="s">
        <v>74</v>
      </c>
      <c r="AU161">
        <v>2006</v>
      </c>
      <c r="AV161">
        <v>316</v>
      </c>
      <c r="AW161" t="s">
        <v>74</v>
      </c>
      <c r="AX161" t="s">
        <v>74</v>
      </c>
      <c r="AY161" t="s">
        <v>74</v>
      </c>
      <c r="AZ161" t="s">
        <v>74</v>
      </c>
      <c r="BA161" t="s">
        <v>74</v>
      </c>
      <c r="BB161">
        <v>285</v>
      </c>
      <c r="BC161">
        <v>310</v>
      </c>
      <c r="BD161" t="s">
        <v>74</v>
      </c>
      <c r="BE161" t="s">
        <v>2877</v>
      </c>
      <c r="BF161" t="str">
        <f>HYPERLINK("http://dx.doi.org/10.3354/meps316285","http://dx.doi.org/10.3354/meps316285")</f>
        <v>http://dx.doi.org/10.3354/meps316285</v>
      </c>
      <c r="BG161" t="s">
        <v>74</v>
      </c>
      <c r="BH161" t="s">
        <v>74</v>
      </c>
      <c r="BI161">
        <v>26</v>
      </c>
      <c r="BJ161" t="s">
        <v>2653</v>
      </c>
      <c r="BK161" t="s">
        <v>98</v>
      </c>
      <c r="BL161" t="s">
        <v>2654</v>
      </c>
      <c r="BM161" t="s">
        <v>2849</v>
      </c>
      <c r="BN161" t="s">
        <v>74</v>
      </c>
      <c r="BO161" t="s">
        <v>1900</v>
      </c>
      <c r="BP161" t="s">
        <v>74</v>
      </c>
      <c r="BQ161" t="s">
        <v>74</v>
      </c>
      <c r="BR161" t="s">
        <v>101</v>
      </c>
      <c r="BS161" t="s">
        <v>2878</v>
      </c>
      <c r="BT161" t="str">
        <f>HYPERLINK("https%3A%2F%2Fwww.webofscience.com%2Fwos%2Fwoscc%2Ffull-record%2FWOS:000239512600026","View Full Record in Web of Science")</f>
        <v>View Full Record in Web of Science</v>
      </c>
    </row>
    <row r="162" spans="1:72" x14ac:dyDescent="0.15">
      <c r="A162" t="s">
        <v>72</v>
      </c>
      <c r="B162" t="s">
        <v>2879</v>
      </c>
      <c r="C162" t="s">
        <v>74</v>
      </c>
      <c r="D162" t="s">
        <v>74</v>
      </c>
      <c r="E162" t="s">
        <v>74</v>
      </c>
      <c r="F162" t="s">
        <v>2880</v>
      </c>
      <c r="G162" t="s">
        <v>74</v>
      </c>
      <c r="H162" t="s">
        <v>74</v>
      </c>
      <c r="I162" t="s">
        <v>2881</v>
      </c>
      <c r="J162" t="s">
        <v>2635</v>
      </c>
      <c r="K162" t="s">
        <v>74</v>
      </c>
      <c r="L162" t="s">
        <v>74</v>
      </c>
      <c r="M162" t="s">
        <v>77</v>
      </c>
      <c r="N162" t="s">
        <v>78</v>
      </c>
      <c r="O162" t="s">
        <v>74</v>
      </c>
      <c r="P162" t="s">
        <v>74</v>
      </c>
      <c r="Q162" t="s">
        <v>74</v>
      </c>
      <c r="R162" t="s">
        <v>74</v>
      </c>
      <c r="S162" t="s">
        <v>74</v>
      </c>
      <c r="T162" t="s">
        <v>2882</v>
      </c>
      <c r="U162" t="s">
        <v>2883</v>
      </c>
      <c r="V162" t="s">
        <v>2884</v>
      </c>
      <c r="W162" t="s">
        <v>2885</v>
      </c>
      <c r="X162" t="s">
        <v>2886</v>
      </c>
      <c r="Y162" t="s">
        <v>2887</v>
      </c>
      <c r="Z162" t="s">
        <v>2888</v>
      </c>
      <c r="AA162" t="s">
        <v>2889</v>
      </c>
      <c r="AB162" t="s">
        <v>2890</v>
      </c>
      <c r="AC162" t="s">
        <v>74</v>
      </c>
      <c r="AD162" t="s">
        <v>74</v>
      </c>
      <c r="AE162" t="s">
        <v>74</v>
      </c>
      <c r="AF162" t="s">
        <v>74</v>
      </c>
      <c r="AG162">
        <v>69</v>
      </c>
      <c r="AH162">
        <v>35</v>
      </c>
      <c r="AI162">
        <v>36</v>
      </c>
      <c r="AJ162">
        <v>2</v>
      </c>
      <c r="AK162">
        <v>17</v>
      </c>
      <c r="AL162" t="s">
        <v>2645</v>
      </c>
      <c r="AM162" t="s">
        <v>2646</v>
      </c>
      <c r="AN162" t="s">
        <v>2647</v>
      </c>
      <c r="AO162" t="s">
        <v>2648</v>
      </c>
      <c r="AP162" t="s">
        <v>74</v>
      </c>
      <c r="AQ162" t="s">
        <v>74</v>
      </c>
      <c r="AR162" t="s">
        <v>2650</v>
      </c>
      <c r="AS162" t="s">
        <v>2651</v>
      </c>
      <c r="AT162" t="s">
        <v>74</v>
      </c>
      <c r="AU162">
        <v>2006</v>
      </c>
      <c r="AV162">
        <v>315</v>
      </c>
      <c r="AW162" t="s">
        <v>74</v>
      </c>
      <c r="AX162" t="s">
        <v>74</v>
      </c>
      <c r="AY162" t="s">
        <v>74</v>
      </c>
      <c r="AZ162" t="s">
        <v>74</v>
      </c>
      <c r="BA162" t="s">
        <v>74</v>
      </c>
      <c r="BB162">
        <v>33</v>
      </c>
      <c r="BC162">
        <v>42</v>
      </c>
      <c r="BD162" t="s">
        <v>74</v>
      </c>
      <c r="BE162" t="s">
        <v>2891</v>
      </c>
      <c r="BF162" t="str">
        <f>HYPERLINK("http://dx.doi.org/10.3354/meps315033","http://dx.doi.org/10.3354/meps315033")</f>
        <v>http://dx.doi.org/10.3354/meps315033</v>
      </c>
      <c r="BG162" t="s">
        <v>74</v>
      </c>
      <c r="BH162" t="s">
        <v>74</v>
      </c>
      <c r="BI162">
        <v>10</v>
      </c>
      <c r="BJ162" t="s">
        <v>2653</v>
      </c>
      <c r="BK162" t="s">
        <v>98</v>
      </c>
      <c r="BL162" t="s">
        <v>2654</v>
      </c>
      <c r="BM162" t="s">
        <v>2892</v>
      </c>
      <c r="BN162" t="s">
        <v>74</v>
      </c>
      <c r="BO162" t="s">
        <v>2276</v>
      </c>
      <c r="BP162" t="s">
        <v>74</v>
      </c>
      <c r="BQ162" t="s">
        <v>74</v>
      </c>
      <c r="BR162" t="s">
        <v>101</v>
      </c>
      <c r="BS162" t="s">
        <v>2893</v>
      </c>
      <c r="BT162" t="str">
        <f>HYPERLINK("https%3A%2F%2Fwww.webofscience.com%2Fwos%2Fwoscc%2Ffull-record%2FWOS:000239241800004","View Full Record in Web of Science")</f>
        <v>View Full Record in Web of Science</v>
      </c>
    </row>
    <row r="163" spans="1:72" x14ac:dyDescent="0.15">
      <c r="A163" t="s">
        <v>72</v>
      </c>
      <c r="B163" t="s">
        <v>2894</v>
      </c>
      <c r="C163" t="s">
        <v>74</v>
      </c>
      <c r="D163" t="s">
        <v>74</v>
      </c>
      <c r="E163" t="s">
        <v>74</v>
      </c>
      <c r="F163" t="s">
        <v>2895</v>
      </c>
      <c r="G163" t="s">
        <v>74</v>
      </c>
      <c r="H163" t="s">
        <v>74</v>
      </c>
      <c r="I163" t="s">
        <v>2896</v>
      </c>
      <c r="J163" t="s">
        <v>2635</v>
      </c>
      <c r="K163" t="s">
        <v>74</v>
      </c>
      <c r="L163" t="s">
        <v>74</v>
      </c>
      <c r="M163" t="s">
        <v>77</v>
      </c>
      <c r="N163" t="s">
        <v>78</v>
      </c>
      <c r="O163" t="s">
        <v>74</v>
      </c>
      <c r="P163" t="s">
        <v>74</v>
      </c>
      <c r="Q163" t="s">
        <v>74</v>
      </c>
      <c r="R163" t="s">
        <v>74</v>
      </c>
      <c r="S163" t="s">
        <v>74</v>
      </c>
      <c r="T163" t="s">
        <v>2897</v>
      </c>
      <c r="U163" t="s">
        <v>2898</v>
      </c>
      <c r="V163" t="s">
        <v>2899</v>
      </c>
      <c r="W163" t="s">
        <v>2900</v>
      </c>
      <c r="X163" t="s">
        <v>2901</v>
      </c>
      <c r="Y163" t="s">
        <v>2902</v>
      </c>
      <c r="Z163" t="s">
        <v>2903</v>
      </c>
      <c r="AA163" t="s">
        <v>2904</v>
      </c>
      <c r="AB163" t="s">
        <v>2905</v>
      </c>
      <c r="AC163" t="s">
        <v>74</v>
      </c>
      <c r="AD163" t="s">
        <v>74</v>
      </c>
      <c r="AE163" t="s">
        <v>74</v>
      </c>
      <c r="AF163" t="s">
        <v>74</v>
      </c>
      <c r="AG163">
        <v>55</v>
      </c>
      <c r="AH163">
        <v>12</v>
      </c>
      <c r="AI163">
        <v>16</v>
      </c>
      <c r="AJ163">
        <v>0</v>
      </c>
      <c r="AK163">
        <v>14</v>
      </c>
      <c r="AL163" t="s">
        <v>2645</v>
      </c>
      <c r="AM163" t="s">
        <v>2646</v>
      </c>
      <c r="AN163" t="s">
        <v>2647</v>
      </c>
      <c r="AO163" t="s">
        <v>2648</v>
      </c>
      <c r="AP163" t="s">
        <v>2649</v>
      </c>
      <c r="AQ163" t="s">
        <v>74</v>
      </c>
      <c r="AR163" t="s">
        <v>2650</v>
      </c>
      <c r="AS163" t="s">
        <v>2651</v>
      </c>
      <c r="AT163" t="s">
        <v>74</v>
      </c>
      <c r="AU163">
        <v>2006</v>
      </c>
      <c r="AV163">
        <v>315</v>
      </c>
      <c r="AW163" t="s">
        <v>74</v>
      </c>
      <c r="AX163" t="s">
        <v>74</v>
      </c>
      <c r="AY163" t="s">
        <v>74</v>
      </c>
      <c r="AZ163" t="s">
        <v>74</v>
      </c>
      <c r="BA163" t="s">
        <v>74</v>
      </c>
      <c r="BB163">
        <v>271</v>
      </c>
      <c r="BC163">
        <v>277</v>
      </c>
      <c r="BD163" t="s">
        <v>74</v>
      </c>
      <c r="BE163" t="s">
        <v>2906</v>
      </c>
      <c r="BF163" t="str">
        <f>HYPERLINK("http://dx.doi.org/10.3354/meps315271","http://dx.doi.org/10.3354/meps315271")</f>
        <v>http://dx.doi.org/10.3354/meps315271</v>
      </c>
      <c r="BG163" t="s">
        <v>74</v>
      </c>
      <c r="BH163" t="s">
        <v>74</v>
      </c>
      <c r="BI163">
        <v>7</v>
      </c>
      <c r="BJ163" t="s">
        <v>2653</v>
      </c>
      <c r="BK163" t="s">
        <v>98</v>
      </c>
      <c r="BL163" t="s">
        <v>2654</v>
      </c>
      <c r="BM163" t="s">
        <v>2892</v>
      </c>
      <c r="BN163" t="s">
        <v>74</v>
      </c>
      <c r="BO163" t="s">
        <v>1900</v>
      </c>
      <c r="BP163" t="s">
        <v>74</v>
      </c>
      <c r="BQ163" t="s">
        <v>74</v>
      </c>
      <c r="BR163" t="s">
        <v>101</v>
      </c>
      <c r="BS163" t="s">
        <v>2907</v>
      </c>
      <c r="BT163" t="str">
        <f>HYPERLINK("https%3A%2F%2Fwww.webofscience.com%2Fwos%2Fwoscc%2Ffull-record%2FWOS:000239241800024","View Full Record in Web of Science")</f>
        <v>View Full Record in Web of Science</v>
      </c>
    </row>
    <row r="164" spans="1:72" x14ac:dyDescent="0.15">
      <c r="A164" t="s">
        <v>72</v>
      </c>
      <c r="B164" t="s">
        <v>2908</v>
      </c>
      <c r="C164" t="s">
        <v>74</v>
      </c>
      <c r="D164" t="s">
        <v>74</v>
      </c>
      <c r="E164" t="s">
        <v>74</v>
      </c>
      <c r="F164" t="s">
        <v>2909</v>
      </c>
      <c r="G164" t="s">
        <v>74</v>
      </c>
      <c r="H164" t="s">
        <v>74</v>
      </c>
      <c r="I164" t="s">
        <v>2910</v>
      </c>
      <c r="J164" t="s">
        <v>2635</v>
      </c>
      <c r="K164" t="s">
        <v>74</v>
      </c>
      <c r="L164" t="s">
        <v>74</v>
      </c>
      <c r="M164" t="s">
        <v>77</v>
      </c>
      <c r="N164" t="s">
        <v>78</v>
      </c>
      <c r="O164" t="s">
        <v>74</v>
      </c>
      <c r="P164" t="s">
        <v>74</v>
      </c>
      <c r="Q164" t="s">
        <v>74</v>
      </c>
      <c r="R164" t="s">
        <v>74</v>
      </c>
      <c r="S164" t="s">
        <v>74</v>
      </c>
      <c r="T164" t="s">
        <v>2911</v>
      </c>
      <c r="U164" t="s">
        <v>2912</v>
      </c>
      <c r="V164" t="s">
        <v>2913</v>
      </c>
      <c r="W164" t="s">
        <v>801</v>
      </c>
      <c r="X164" t="s">
        <v>788</v>
      </c>
      <c r="Y164" t="s">
        <v>761</v>
      </c>
      <c r="Z164" t="s">
        <v>931</v>
      </c>
      <c r="AA164" t="s">
        <v>74</v>
      </c>
      <c r="AB164" t="s">
        <v>74</v>
      </c>
      <c r="AC164" t="s">
        <v>2914</v>
      </c>
      <c r="AD164" t="s">
        <v>720</v>
      </c>
      <c r="AE164" t="s">
        <v>74</v>
      </c>
      <c r="AF164" t="s">
        <v>74</v>
      </c>
      <c r="AG164">
        <v>52</v>
      </c>
      <c r="AH164">
        <v>8</v>
      </c>
      <c r="AI164">
        <v>8</v>
      </c>
      <c r="AJ164">
        <v>0</v>
      </c>
      <c r="AK164">
        <v>10</v>
      </c>
      <c r="AL164" t="s">
        <v>2645</v>
      </c>
      <c r="AM164" t="s">
        <v>2646</v>
      </c>
      <c r="AN164" t="s">
        <v>2647</v>
      </c>
      <c r="AO164" t="s">
        <v>2648</v>
      </c>
      <c r="AP164" t="s">
        <v>2649</v>
      </c>
      <c r="AQ164" t="s">
        <v>74</v>
      </c>
      <c r="AR164" t="s">
        <v>2650</v>
      </c>
      <c r="AS164" t="s">
        <v>2651</v>
      </c>
      <c r="AT164" t="s">
        <v>74</v>
      </c>
      <c r="AU164">
        <v>2006</v>
      </c>
      <c r="AV164">
        <v>314</v>
      </c>
      <c r="AW164" t="s">
        <v>74</v>
      </c>
      <c r="AX164" t="s">
        <v>74</v>
      </c>
      <c r="AY164" t="s">
        <v>74</v>
      </c>
      <c r="AZ164" t="s">
        <v>74</v>
      </c>
      <c r="BA164" t="s">
        <v>74</v>
      </c>
      <c r="BB164">
        <v>15</v>
      </c>
      <c r="BC164">
        <v>23</v>
      </c>
      <c r="BD164" t="s">
        <v>74</v>
      </c>
      <c r="BE164" t="s">
        <v>2915</v>
      </c>
      <c r="BF164" t="str">
        <f>HYPERLINK("http://dx.doi.org/10.3354/meps314015","http://dx.doi.org/10.3354/meps314015")</f>
        <v>http://dx.doi.org/10.3354/meps314015</v>
      </c>
      <c r="BG164" t="s">
        <v>74</v>
      </c>
      <c r="BH164" t="s">
        <v>74</v>
      </c>
      <c r="BI164">
        <v>9</v>
      </c>
      <c r="BJ164" t="s">
        <v>2653</v>
      </c>
      <c r="BK164" t="s">
        <v>98</v>
      </c>
      <c r="BL164" t="s">
        <v>2654</v>
      </c>
      <c r="BM164" t="s">
        <v>2916</v>
      </c>
      <c r="BN164" t="s">
        <v>74</v>
      </c>
      <c r="BO164" t="s">
        <v>2656</v>
      </c>
      <c r="BP164" t="s">
        <v>74</v>
      </c>
      <c r="BQ164" t="s">
        <v>74</v>
      </c>
      <c r="BR164" t="s">
        <v>101</v>
      </c>
      <c r="BS164" t="s">
        <v>2917</v>
      </c>
      <c r="BT164" t="str">
        <f>HYPERLINK("https%3A%2F%2Fwww.webofscience.com%2Fwos%2Fwoscc%2Ffull-record%2FWOS:000238837500002","View Full Record in Web of Science")</f>
        <v>View Full Record in Web of Science</v>
      </c>
    </row>
    <row r="165" spans="1:72" x14ac:dyDescent="0.15">
      <c r="A165" t="s">
        <v>72</v>
      </c>
      <c r="B165" t="s">
        <v>2918</v>
      </c>
      <c r="C165" t="s">
        <v>74</v>
      </c>
      <c r="D165" t="s">
        <v>74</v>
      </c>
      <c r="E165" t="s">
        <v>74</v>
      </c>
      <c r="F165" t="s">
        <v>2919</v>
      </c>
      <c r="G165" t="s">
        <v>74</v>
      </c>
      <c r="H165" t="s">
        <v>74</v>
      </c>
      <c r="I165" t="s">
        <v>2920</v>
      </c>
      <c r="J165" t="s">
        <v>2635</v>
      </c>
      <c r="K165" t="s">
        <v>74</v>
      </c>
      <c r="L165" t="s">
        <v>74</v>
      </c>
      <c r="M165" t="s">
        <v>77</v>
      </c>
      <c r="N165" t="s">
        <v>78</v>
      </c>
      <c r="O165" t="s">
        <v>74</v>
      </c>
      <c r="P165" t="s">
        <v>74</v>
      </c>
      <c r="Q165" t="s">
        <v>74</v>
      </c>
      <c r="R165" t="s">
        <v>74</v>
      </c>
      <c r="S165" t="s">
        <v>74</v>
      </c>
      <c r="T165" t="s">
        <v>2921</v>
      </c>
      <c r="U165" t="s">
        <v>2922</v>
      </c>
      <c r="V165" t="s">
        <v>2923</v>
      </c>
      <c r="W165" t="s">
        <v>801</v>
      </c>
      <c r="X165" t="s">
        <v>788</v>
      </c>
      <c r="Y165" t="s">
        <v>2924</v>
      </c>
      <c r="Z165" t="s">
        <v>931</v>
      </c>
      <c r="AA165" t="s">
        <v>2925</v>
      </c>
      <c r="AB165" t="s">
        <v>804</v>
      </c>
      <c r="AC165" t="s">
        <v>2926</v>
      </c>
      <c r="AD165" t="s">
        <v>720</v>
      </c>
      <c r="AE165" t="s">
        <v>74</v>
      </c>
      <c r="AF165" t="s">
        <v>74</v>
      </c>
      <c r="AG165">
        <v>46</v>
      </c>
      <c r="AH165">
        <v>33</v>
      </c>
      <c r="AI165">
        <v>35</v>
      </c>
      <c r="AJ165">
        <v>0</v>
      </c>
      <c r="AK165">
        <v>8</v>
      </c>
      <c r="AL165" t="s">
        <v>2645</v>
      </c>
      <c r="AM165" t="s">
        <v>2646</v>
      </c>
      <c r="AN165" t="s">
        <v>2647</v>
      </c>
      <c r="AO165" t="s">
        <v>2648</v>
      </c>
      <c r="AP165" t="s">
        <v>2649</v>
      </c>
      <c r="AQ165" t="s">
        <v>74</v>
      </c>
      <c r="AR165" t="s">
        <v>2650</v>
      </c>
      <c r="AS165" t="s">
        <v>2651</v>
      </c>
      <c r="AT165" t="s">
        <v>74</v>
      </c>
      <c r="AU165">
        <v>2006</v>
      </c>
      <c r="AV165">
        <v>314</v>
      </c>
      <c r="AW165" t="s">
        <v>74</v>
      </c>
      <c r="AX165" t="s">
        <v>74</v>
      </c>
      <c r="AY165" t="s">
        <v>74</v>
      </c>
      <c r="AZ165" t="s">
        <v>74</v>
      </c>
      <c r="BA165" t="s">
        <v>74</v>
      </c>
      <c r="BB165">
        <v>187</v>
      </c>
      <c r="BC165">
        <v>195</v>
      </c>
      <c r="BD165" t="s">
        <v>74</v>
      </c>
      <c r="BE165" t="s">
        <v>2927</v>
      </c>
      <c r="BF165" t="str">
        <f>HYPERLINK("http://dx.doi.org/10.3354/meps314187","http://dx.doi.org/10.3354/meps314187")</f>
        <v>http://dx.doi.org/10.3354/meps314187</v>
      </c>
      <c r="BG165" t="s">
        <v>74</v>
      </c>
      <c r="BH165" t="s">
        <v>74</v>
      </c>
      <c r="BI165">
        <v>9</v>
      </c>
      <c r="BJ165" t="s">
        <v>2653</v>
      </c>
      <c r="BK165" t="s">
        <v>98</v>
      </c>
      <c r="BL165" t="s">
        <v>2654</v>
      </c>
      <c r="BM165" t="s">
        <v>2916</v>
      </c>
      <c r="BN165" t="s">
        <v>74</v>
      </c>
      <c r="BO165" t="s">
        <v>2656</v>
      </c>
      <c r="BP165" t="s">
        <v>74</v>
      </c>
      <c r="BQ165" t="s">
        <v>74</v>
      </c>
      <c r="BR165" t="s">
        <v>101</v>
      </c>
      <c r="BS165" t="s">
        <v>2928</v>
      </c>
      <c r="BT165" t="str">
        <f>HYPERLINK("https%3A%2F%2Fwww.webofscience.com%2Fwos%2Fwoscc%2Ffull-record%2FWOS:000238837500017","View Full Record in Web of Science")</f>
        <v>View Full Record in Web of Science</v>
      </c>
    </row>
    <row r="166" spans="1:72" x14ac:dyDescent="0.15">
      <c r="A166" t="s">
        <v>72</v>
      </c>
      <c r="B166" t="s">
        <v>2929</v>
      </c>
      <c r="C166" t="s">
        <v>74</v>
      </c>
      <c r="D166" t="s">
        <v>74</v>
      </c>
      <c r="E166" t="s">
        <v>74</v>
      </c>
      <c r="F166" t="s">
        <v>2930</v>
      </c>
      <c r="G166" t="s">
        <v>74</v>
      </c>
      <c r="H166" t="s">
        <v>74</v>
      </c>
      <c r="I166" t="s">
        <v>2931</v>
      </c>
      <c r="J166" t="s">
        <v>2635</v>
      </c>
      <c r="K166" t="s">
        <v>74</v>
      </c>
      <c r="L166" t="s">
        <v>74</v>
      </c>
      <c r="M166" t="s">
        <v>77</v>
      </c>
      <c r="N166" t="s">
        <v>78</v>
      </c>
      <c r="O166" t="s">
        <v>74</v>
      </c>
      <c r="P166" t="s">
        <v>74</v>
      </c>
      <c r="Q166" t="s">
        <v>74</v>
      </c>
      <c r="R166" t="s">
        <v>74</v>
      </c>
      <c r="S166" t="s">
        <v>74</v>
      </c>
      <c r="T166" t="s">
        <v>2932</v>
      </c>
      <c r="U166" t="s">
        <v>2933</v>
      </c>
      <c r="V166" t="s">
        <v>2934</v>
      </c>
      <c r="W166" t="s">
        <v>2935</v>
      </c>
      <c r="X166" t="s">
        <v>2936</v>
      </c>
      <c r="Y166" t="s">
        <v>2937</v>
      </c>
      <c r="Z166" t="s">
        <v>2938</v>
      </c>
      <c r="AA166" t="s">
        <v>2939</v>
      </c>
      <c r="AB166" t="s">
        <v>2940</v>
      </c>
      <c r="AC166" t="s">
        <v>74</v>
      </c>
      <c r="AD166" t="s">
        <v>74</v>
      </c>
      <c r="AE166" t="s">
        <v>74</v>
      </c>
      <c r="AF166" t="s">
        <v>74</v>
      </c>
      <c r="AG166">
        <v>63</v>
      </c>
      <c r="AH166">
        <v>153</v>
      </c>
      <c r="AI166">
        <v>187</v>
      </c>
      <c r="AJ166">
        <v>1</v>
      </c>
      <c r="AK166">
        <v>55</v>
      </c>
      <c r="AL166" t="s">
        <v>2645</v>
      </c>
      <c r="AM166" t="s">
        <v>2646</v>
      </c>
      <c r="AN166" t="s">
        <v>2647</v>
      </c>
      <c r="AO166" t="s">
        <v>2648</v>
      </c>
      <c r="AP166" t="s">
        <v>2649</v>
      </c>
      <c r="AQ166" t="s">
        <v>74</v>
      </c>
      <c r="AR166" t="s">
        <v>2650</v>
      </c>
      <c r="AS166" t="s">
        <v>2651</v>
      </c>
      <c r="AT166" t="s">
        <v>74</v>
      </c>
      <c r="AU166">
        <v>2006</v>
      </c>
      <c r="AV166">
        <v>313</v>
      </c>
      <c r="AW166" t="s">
        <v>74</v>
      </c>
      <c r="AX166" t="s">
        <v>74</v>
      </c>
      <c r="AY166" t="s">
        <v>74</v>
      </c>
      <c r="AZ166" t="s">
        <v>74</v>
      </c>
      <c r="BA166" t="s">
        <v>74</v>
      </c>
      <c r="BB166">
        <v>295</v>
      </c>
      <c r="BC166">
        <v>304</v>
      </c>
      <c r="BD166" t="s">
        <v>74</v>
      </c>
      <c r="BE166" t="s">
        <v>2941</v>
      </c>
      <c r="BF166" t="str">
        <f>HYPERLINK("http://dx.doi.org/10.3354/meps313295","http://dx.doi.org/10.3354/meps313295")</f>
        <v>http://dx.doi.org/10.3354/meps313295</v>
      </c>
      <c r="BG166" t="s">
        <v>74</v>
      </c>
      <c r="BH166" t="s">
        <v>74</v>
      </c>
      <c r="BI166">
        <v>10</v>
      </c>
      <c r="BJ166" t="s">
        <v>2653</v>
      </c>
      <c r="BK166" t="s">
        <v>98</v>
      </c>
      <c r="BL166" t="s">
        <v>2654</v>
      </c>
      <c r="BM166" t="s">
        <v>2942</v>
      </c>
      <c r="BN166" t="s">
        <v>74</v>
      </c>
      <c r="BO166" t="s">
        <v>1900</v>
      </c>
      <c r="BP166" t="s">
        <v>74</v>
      </c>
      <c r="BQ166" t="s">
        <v>74</v>
      </c>
      <c r="BR166" t="s">
        <v>101</v>
      </c>
      <c r="BS166" t="s">
        <v>2943</v>
      </c>
      <c r="BT166" t="str">
        <f>HYPERLINK("https%3A%2F%2Fwww.webofscience.com%2Fwos%2Fwoscc%2Ffull-record%2FWOS:000238837300025","View Full Record in Web of Science")</f>
        <v>View Full Record in Web of Science</v>
      </c>
    </row>
    <row r="167" spans="1:72" x14ac:dyDescent="0.15">
      <c r="A167" t="s">
        <v>72</v>
      </c>
      <c r="B167" t="s">
        <v>2944</v>
      </c>
      <c r="C167" t="s">
        <v>74</v>
      </c>
      <c r="D167" t="s">
        <v>74</v>
      </c>
      <c r="E167" t="s">
        <v>74</v>
      </c>
      <c r="F167" t="s">
        <v>2945</v>
      </c>
      <c r="G167" t="s">
        <v>74</v>
      </c>
      <c r="H167" t="s">
        <v>74</v>
      </c>
      <c r="I167" t="s">
        <v>2946</v>
      </c>
      <c r="J167" t="s">
        <v>2635</v>
      </c>
      <c r="K167" t="s">
        <v>74</v>
      </c>
      <c r="L167" t="s">
        <v>74</v>
      </c>
      <c r="M167" t="s">
        <v>77</v>
      </c>
      <c r="N167" t="s">
        <v>78</v>
      </c>
      <c r="O167" t="s">
        <v>74</v>
      </c>
      <c r="P167" t="s">
        <v>74</v>
      </c>
      <c r="Q167" t="s">
        <v>74</v>
      </c>
      <c r="R167" t="s">
        <v>74</v>
      </c>
      <c r="S167" t="s">
        <v>74</v>
      </c>
      <c r="T167" t="s">
        <v>2947</v>
      </c>
      <c r="U167" t="s">
        <v>2948</v>
      </c>
      <c r="V167" t="s">
        <v>2949</v>
      </c>
      <c r="W167" t="s">
        <v>2950</v>
      </c>
      <c r="X167" t="s">
        <v>2951</v>
      </c>
      <c r="Y167" t="s">
        <v>2952</v>
      </c>
      <c r="Z167" t="s">
        <v>2953</v>
      </c>
      <c r="AA167" t="s">
        <v>74</v>
      </c>
      <c r="AB167" t="s">
        <v>74</v>
      </c>
      <c r="AC167" t="s">
        <v>74</v>
      </c>
      <c r="AD167" t="s">
        <v>74</v>
      </c>
      <c r="AE167" t="s">
        <v>74</v>
      </c>
      <c r="AF167" t="s">
        <v>74</v>
      </c>
      <c r="AG167">
        <v>48</v>
      </c>
      <c r="AH167">
        <v>35</v>
      </c>
      <c r="AI167">
        <v>45</v>
      </c>
      <c r="AJ167">
        <v>1</v>
      </c>
      <c r="AK167">
        <v>17</v>
      </c>
      <c r="AL167" t="s">
        <v>2645</v>
      </c>
      <c r="AM167" t="s">
        <v>2646</v>
      </c>
      <c r="AN167" t="s">
        <v>2647</v>
      </c>
      <c r="AO167" t="s">
        <v>2648</v>
      </c>
      <c r="AP167" t="s">
        <v>74</v>
      </c>
      <c r="AQ167" t="s">
        <v>74</v>
      </c>
      <c r="AR167" t="s">
        <v>2650</v>
      </c>
      <c r="AS167" t="s">
        <v>2651</v>
      </c>
      <c r="AT167" t="s">
        <v>74</v>
      </c>
      <c r="AU167">
        <v>2006</v>
      </c>
      <c r="AV167">
        <v>312</v>
      </c>
      <c r="AW167" t="s">
        <v>74</v>
      </c>
      <c r="AX167" t="s">
        <v>74</v>
      </c>
      <c r="AY167" t="s">
        <v>74</v>
      </c>
      <c r="AZ167" t="s">
        <v>74</v>
      </c>
      <c r="BA167" t="s">
        <v>74</v>
      </c>
      <c r="BB167">
        <v>169</v>
      </c>
      <c r="BC167">
        <v>175</v>
      </c>
      <c r="BD167" t="s">
        <v>74</v>
      </c>
      <c r="BE167" t="s">
        <v>2954</v>
      </c>
      <c r="BF167" t="str">
        <f>HYPERLINK("http://dx.doi.org/10.3354/meps312169","http://dx.doi.org/10.3354/meps312169")</f>
        <v>http://dx.doi.org/10.3354/meps312169</v>
      </c>
      <c r="BG167" t="s">
        <v>74</v>
      </c>
      <c r="BH167" t="s">
        <v>74</v>
      </c>
      <c r="BI167">
        <v>7</v>
      </c>
      <c r="BJ167" t="s">
        <v>2653</v>
      </c>
      <c r="BK167" t="s">
        <v>98</v>
      </c>
      <c r="BL167" t="s">
        <v>2654</v>
      </c>
      <c r="BM167" t="s">
        <v>2955</v>
      </c>
      <c r="BN167" t="s">
        <v>74</v>
      </c>
      <c r="BO167" t="s">
        <v>1900</v>
      </c>
      <c r="BP167" t="s">
        <v>74</v>
      </c>
      <c r="BQ167" t="s">
        <v>74</v>
      </c>
      <c r="BR167" t="s">
        <v>101</v>
      </c>
      <c r="BS167" t="s">
        <v>2956</v>
      </c>
      <c r="BT167" t="str">
        <f>HYPERLINK("https%3A%2F%2Fwww.webofscience.com%2Fwos%2Fwoscc%2Ffull-record%2FWOS:000237918300014","View Full Record in Web of Science")</f>
        <v>View Full Record in Web of Science</v>
      </c>
    </row>
    <row r="168" spans="1:72" x14ac:dyDescent="0.15">
      <c r="A168" t="s">
        <v>72</v>
      </c>
      <c r="B168" t="s">
        <v>2957</v>
      </c>
      <c r="C168" t="s">
        <v>74</v>
      </c>
      <c r="D168" t="s">
        <v>74</v>
      </c>
      <c r="E168" t="s">
        <v>74</v>
      </c>
      <c r="F168" t="s">
        <v>2958</v>
      </c>
      <c r="G168" t="s">
        <v>74</v>
      </c>
      <c r="H168" t="s">
        <v>74</v>
      </c>
      <c r="I168" t="s">
        <v>2959</v>
      </c>
      <c r="J168" t="s">
        <v>2635</v>
      </c>
      <c r="K168" t="s">
        <v>74</v>
      </c>
      <c r="L168" t="s">
        <v>74</v>
      </c>
      <c r="M168" t="s">
        <v>77</v>
      </c>
      <c r="N168" t="s">
        <v>78</v>
      </c>
      <c r="O168" t="s">
        <v>74</v>
      </c>
      <c r="P168" t="s">
        <v>74</v>
      </c>
      <c r="Q168" t="s">
        <v>74</v>
      </c>
      <c r="R168" t="s">
        <v>74</v>
      </c>
      <c r="S168" t="s">
        <v>74</v>
      </c>
      <c r="T168" t="s">
        <v>2960</v>
      </c>
      <c r="U168" t="s">
        <v>2961</v>
      </c>
      <c r="V168" t="s">
        <v>2962</v>
      </c>
      <c r="W168" t="s">
        <v>2963</v>
      </c>
      <c r="X168" t="s">
        <v>2964</v>
      </c>
      <c r="Y168" t="s">
        <v>2965</v>
      </c>
      <c r="Z168" t="s">
        <v>2966</v>
      </c>
      <c r="AA168" t="s">
        <v>2967</v>
      </c>
      <c r="AB168" t="s">
        <v>2968</v>
      </c>
      <c r="AC168" t="s">
        <v>74</v>
      </c>
      <c r="AD168" t="s">
        <v>74</v>
      </c>
      <c r="AE168" t="s">
        <v>74</v>
      </c>
      <c r="AF168" t="s">
        <v>74</v>
      </c>
      <c r="AG168">
        <v>57</v>
      </c>
      <c r="AH168">
        <v>55</v>
      </c>
      <c r="AI168">
        <v>57</v>
      </c>
      <c r="AJ168">
        <v>2</v>
      </c>
      <c r="AK168">
        <v>15</v>
      </c>
      <c r="AL168" t="s">
        <v>2645</v>
      </c>
      <c r="AM168" t="s">
        <v>2646</v>
      </c>
      <c r="AN168" t="s">
        <v>2647</v>
      </c>
      <c r="AO168" t="s">
        <v>2648</v>
      </c>
      <c r="AP168" t="s">
        <v>2649</v>
      </c>
      <c r="AQ168" t="s">
        <v>74</v>
      </c>
      <c r="AR168" t="s">
        <v>2650</v>
      </c>
      <c r="AS168" t="s">
        <v>2651</v>
      </c>
      <c r="AT168" t="s">
        <v>74</v>
      </c>
      <c r="AU168">
        <v>2006</v>
      </c>
      <c r="AV168">
        <v>312</v>
      </c>
      <c r="AW168" t="s">
        <v>74</v>
      </c>
      <c r="AX168" t="s">
        <v>74</v>
      </c>
      <c r="AY168" t="s">
        <v>74</v>
      </c>
      <c r="AZ168" t="s">
        <v>74</v>
      </c>
      <c r="BA168" t="s">
        <v>74</v>
      </c>
      <c r="BB168">
        <v>277</v>
      </c>
      <c r="BC168">
        <v>290</v>
      </c>
      <c r="BD168" t="s">
        <v>74</v>
      </c>
      <c r="BE168" t="s">
        <v>2969</v>
      </c>
      <c r="BF168" t="str">
        <f>HYPERLINK("http://dx.doi.org/10.3354/meps312277","http://dx.doi.org/10.3354/meps312277")</f>
        <v>http://dx.doi.org/10.3354/meps312277</v>
      </c>
      <c r="BG168" t="s">
        <v>74</v>
      </c>
      <c r="BH168" t="s">
        <v>74</v>
      </c>
      <c r="BI168">
        <v>14</v>
      </c>
      <c r="BJ168" t="s">
        <v>2653</v>
      </c>
      <c r="BK168" t="s">
        <v>98</v>
      </c>
      <c r="BL168" t="s">
        <v>2654</v>
      </c>
      <c r="BM168" t="s">
        <v>2955</v>
      </c>
      <c r="BN168" t="s">
        <v>74</v>
      </c>
      <c r="BO168" t="s">
        <v>1900</v>
      </c>
      <c r="BP168" t="s">
        <v>74</v>
      </c>
      <c r="BQ168" t="s">
        <v>74</v>
      </c>
      <c r="BR168" t="s">
        <v>101</v>
      </c>
      <c r="BS168" t="s">
        <v>2970</v>
      </c>
      <c r="BT168" t="str">
        <f>HYPERLINK("https%3A%2F%2Fwww.webofscience.com%2Fwos%2Fwoscc%2Ffull-record%2FWOS:000237918300024","View Full Record in Web of Science")</f>
        <v>View Full Record in Web of Science</v>
      </c>
    </row>
    <row r="169" spans="1:72" x14ac:dyDescent="0.15">
      <c r="A169" t="s">
        <v>72</v>
      </c>
      <c r="B169" t="s">
        <v>2971</v>
      </c>
      <c r="C169" t="s">
        <v>74</v>
      </c>
      <c r="D169" t="s">
        <v>74</v>
      </c>
      <c r="E169" t="s">
        <v>74</v>
      </c>
      <c r="F169" t="s">
        <v>2972</v>
      </c>
      <c r="G169" t="s">
        <v>74</v>
      </c>
      <c r="H169" t="s">
        <v>74</v>
      </c>
      <c r="I169" t="s">
        <v>2973</v>
      </c>
      <c r="J169" t="s">
        <v>2635</v>
      </c>
      <c r="K169" t="s">
        <v>74</v>
      </c>
      <c r="L169" t="s">
        <v>74</v>
      </c>
      <c r="M169" t="s">
        <v>77</v>
      </c>
      <c r="N169" t="s">
        <v>78</v>
      </c>
      <c r="O169" t="s">
        <v>74</v>
      </c>
      <c r="P169" t="s">
        <v>74</v>
      </c>
      <c r="Q169" t="s">
        <v>74</v>
      </c>
      <c r="R169" t="s">
        <v>74</v>
      </c>
      <c r="S169" t="s">
        <v>74</v>
      </c>
      <c r="T169" t="s">
        <v>2974</v>
      </c>
      <c r="U169" t="s">
        <v>2975</v>
      </c>
      <c r="V169" t="s">
        <v>2976</v>
      </c>
      <c r="W169" t="s">
        <v>2977</v>
      </c>
      <c r="X169" t="s">
        <v>2978</v>
      </c>
      <c r="Y169" t="s">
        <v>2979</v>
      </c>
      <c r="Z169" t="s">
        <v>2980</v>
      </c>
      <c r="AA169" t="s">
        <v>2981</v>
      </c>
      <c r="AB169" t="s">
        <v>2982</v>
      </c>
      <c r="AC169" t="s">
        <v>734</v>
      </c>
      <c r="AD169" t="s">
        <v>735</v>
      </c>
      <c r="AE169" t="s">
        <v>74</v>
      </c>
      <c r="AF169" t="s">
        <v>74</v>
      </c>
      <c r="AG169">
        <v>61</v>
      </c>
      <c r="AH169">
        <v>223</v>
      </c>
      <c r="AI169">
        <v>271</v>
      </c>
      <c r="AJ169">
        <v>3</v>
      </c>
      <c r="AK169">
        <v>74</v>
      </c>
      <c r="AL169" t="s">
        <v>2645</v>
      </c>
      <c r="AM169" t="s">
        <v>2646</v>
      </c>
      <c r="AN169" t="s">
        <v>2647</v>
      </c>
      <c r="AO169" t="s">
        <v>2648</v>
      </c>
      <c r="AP169" t="s">
        <v>74</v>
      </c>
      <c r="AQ169" t="s">
        <v>74</v>
      </c>
      <c r="AR169" t="s">
        <v>2650</v>
      </c>
      <c r="AS169" t="s">
        <v>2651</v>
      </c>
      <c r="AT169" t="s">
        <v>74</v>
      </c>
      <c r="AU169">
        <v>2006</v>
      </c>
      <c r="AV169">
        <v>311</v>
      </c>
      <c r="AW169" t="s">
        <v>74</v>
      </c>
      <c r="AX169" t="s">
        <v>74</v>
      </c>
      <c r="AY169" t="s">
        <v>74</v>
      </c>
      <c r="AZ169" t="s">
        <v>74</v>
      </c>
      <c r="BA169" t="s">
        <v>74</v>
      </c>
      <c r="BB169">
        <v>157</v>
      </c>
      <c r="BC169">
        <v>164</v>
      </c>
      <c r="BD169" t="s">
        <v>74</v>
      </c>
      <c r="BE169" t="s">
        <v>2983</v>
      </c>
      <c r="BF169" t="str">
        <f>HYPERLINK("http://dx.doi.org/10.3354/meps311157","http://dx.doi.org/10.3354/meps311157")</f>
        <v>http://dx.doi.org/10.3354/meps311157</v>
      </c>
      <c r="BG169" t="s">
        <v>74</v>
      </c>
      <c r="BH169" t="s">
        <v>74</v>
      </c>
      <c r="BI169">
        <v>8</v>
      </c>
      <c r="BJ169" t="s">
        <v>2653</v>
      </c>
      <c r="BK169" t="s">
        <v>98</v>
      </c>
      <c r="BL169" t="s">
        <v>2654</v>
      </c>
      <c r="BM169" t="s">
        <v>2984</v>
      </c>
      <c r="BN169" t="s">
        <v>74</v>
      </c>
      <c r="BO169" t="s">
        <v>2728</v>
      </c>
      <c r="BP169" t="s">
        <v>74</v>
      </c>
      <c r="BQ169" t="s">
        <v>74</v>
      </c>
      <c r="BR169" t="s">
        <v>101</v>
      </c>
      <c r="BS169" t="s">
        <v>2985</v>
      </c>
      <c r="BT169" t="str">
        <f>HYPERLINK("https%3A%2F%2Fwww.webofscience.com%2Fwos%2Fwoscc%2Ffull-record%2FWOS:000237656700014","View Full Record in Web of Science")</f>
        <v>View Full Record in Web of Science</v>
      </c>
    </row>
    <row r="170" spans="1:72" x14ac:dyDescent="0.15">
      <c r="A170" t="s">
        <v>72</v>
      </c>
      <c r="B170" t="s">
        <v>2986</v>
      </c>
      <c r="C170" t="s">
        <v>74</v>
      </c>
      <c r="D170" t="s">
        <v>74</v>
      </c>
      <c r="E170" t="s">
        <v>74</v>
      </c>
      <c r="F170" t="s">
        <v>2987</v>
      </c>
      <c r="G170" t="s">
        <v>74</v>
      </c>
      <c r="H170" t="s">
        <v>74</v>
      </c>
      <c r="I170" t="s">
        <v>2988</v>
      </c>
      <c r="J170" t="s">
        <v>2635</v>
      </c>
      <c r="K170" t="s">
        <v>74</v>
      </c>
      <c r="L170" t="s">
        <v>74</v>
      </c>
      <c r="M170" t="s">
        <v>77</v>
      </c>
      <c r="N170" t="s">
        <v>78</v>
      </c>
      <c r="O170" t="s">
        <v>74</v>
      </c>
      <c r="P170" t="s">
        <v>74</v>
      </c>
      <c r="Q170" t="s">
        <v>74</v>
      </c>
      <c r="R170" t="s">
        <v>74</v>
      </c>
      <c r="S170" t="s">
        <v>74</v>
      </c>
      <c r="T170" t="s">
        <v>2989</v>
      </c>
      <c r="U170" t="s">
        <v>2990</v>
      </c>
      <c r="V170" t="s">
        <v>2991</v>
      </c>
      <c r="W170" t="s">
        <v>801</v>
      </c>
      <c r="X170" t="s">
        <v>788</v>
      </c>
      <c r="Y170" t="s">
        <v>2992</v>
      </c>
      <c r="Z170" t="s">
        <v>2993</v>
      </c>
      <c r="AA170" t="s">
        <v>74</v>
      </c>
      <c r="AB170" t="s">
        <v>2994</v>
      </c>
      <c r="AC170" t="s">
        <v>792</v>
      </c>
      <c r="AD170" t="s">
        <v>720</v>
      </c>
      <c r="AE170" t="s">
        <v>74</v>
      </c>
      <c r="AF170" t="s">
        <v>74</v>
      </c>
      <c r="AG170">
        <v>39</v>
      </c>
      <c r="AH170">
        <v>43</v>
      </c>
      <c r="AI170">
        <v>54</v>
      </c>
      <c r="AJ170">
        <v>0</v>
      </c>
      <c r="AK170">
        <v>15</v>
      </c>
      <c r="AL170" t="s">
        <v>2645</v>
      </c>
      <c r="AM170" t="s">
        <v>2646</v>
      </c>
      <c r="AN170" t="s">
        <v>2647</v>
      </c>
      <c r="AO170" t="s">
        <v>2648</v>
      </c>
      <c r="AP170" t="s">
        <v>2649</v>
      </c>
      <c r="AQ170" t="s">
        <v>74</v>
      </c>
      <c r="AR170" t="s">
        <v>2650</v>
      </c>
      <c r="AS170" t="s">
        <v>2651</v>
      </c>
      <c r="AT170" t="s">
        <v>74</v>
      </c>
      <c r="AU170">
        <v>2006</v>
      </c>
      <c r="AV170">
        <v>310</v>
      </c>
      <c r="AW170" t="s">
        <v>74</v>
      </c>
      <c r="AX170" t="s">
        <v>74</v>
      </c>
      <c r="AY170" t="s">
        <v>74</v>
      </c>
      <c r="AZ170" t="s">
        <v>74</v>
      </c>
      <c r="BA170" t="s">
        <v>74</v>
      </c>
      <c r="BB170">
        <v>25</v>
      </c>
      <c r="BC170">
        <v>32</v>
      </c>
      <c r="BD170" t="s">
        <v>74</v>
      </c>
      <c r="BE170" t="s">
        <v>2995</v>
      </c>
      <c r="BF170" t="str">
        <f>HYPERLINK("http://dx.doi.org/10.3354/meps310025","http://dx.doi.org/10.3354/meps310025")</f>
        <v>http://dx.doi.org/10.3354/meps310025</v>
      </c>
      <c r="BG170" t="s">
        <v>74</v>
      </c>
      <c r="BH170" t="s">
        <v>74</v>
      </c>
      <c r="BI170">
        <v>8</v>
      </c>
      <c r="BJ170" t="s">
        <v>2653</v>
      </c>
      <c r="BK170" t="s">
        <v>98</v>
      </c>
      <c r="BL170" t="s">
        <v>2654</v>
      </c>
      <c r="BM170" t="s">
        <v>2996</v>
      </c>
      <c r="BN170" t="s">
        <v>74</v>
      </c>
      <c r="BO170" t="s">
        <v>2656</v>
      </c>
      <c r="BP170" t="s">
        <v>74</v>
      </c>
      <c r="BQ170" t="s">
        <v>74</v>
      </c>
      <c r="BR170" t="s">
        <v>101</v>
      </c>
      <c r="BS170" t="s">
        <v>2997</v>
      </c>
      <c r="BT170" t="str">
        <f>HYPERLINK("https%3A%2F%2Fwww.webofscience.com%2Fwos%2Fwoscc%2Ffull-record%2FWOS:000237558000003","View Full Record in Web of Science")</f>
        <v>View Full Record in Web of Science</v>
      </c>
    </row>
    <row r="171" spans="1:72" x14ac:dyDescent="0.15">
      <c r="A171" t="s">
        <v>72</v>
      </c>
      <c r="B171" t="s">
        <v>2998</v>
      </c>
      <c r="C171" t="s">
        <v>74</v>
      </c>
      <c r="D171" t="s">
        <v>74</v>
      </c>
      <c r="E171" t="s">
        <v>74</v>
      </c>
      <c r="F171" t="s">
        <v>2999</v>
      </c>
      <c r="G171" t="s">
        <v>74</v>
      </c>
      <c r="H171" t="s">
        <v>74</v>
      </c>
      <c r="I171" t="s">
        <v>3000</v>
      </c>
      <c r="J171" t="s">
        <v>2635</v>
      </c>
      <c r="K171" t="s">
        <v>74</v>
      </c>
      <c r="L171" t="s">
        <v>74</v>
      </c>
      <c r="M171" t="s">
        <v>77</v>
      </c>
      <c r="N171" t="s">
        <v>78</v>
      </c>
      <c r="O171" t="s">
        <v>74</v>
      </c>
      <c r="P171" t="s">
        <v>74</v>
      </c>
      <c r="Q171" t="s">
        <v>74</v>
      </c>
      <c r="R171" t="s">
        <v>74</v>
      </c>
      <c r="S171" t="s">
        <v>74</v>
      </c>
      <c r="T171" t="s">
        <v>3001</v>
      </c>
      <c r="U171" t="s">
        <v>3002</v>
      </c>
      <c r="V171" t="s">
        <v>3003</v>
      </c>
      <c r="W171" t="s">
        <v>3004</v>
      </c>
      <c r="X171" t="s">
        <v>3005</v>
      </c>
      <c r="Y171" t="s">
        <v>3006</v>
      </c>
      <c r="Z171" t="s">
        <v>3007</v>
      </c>
      <c r="AA171" t="s">
        <v>3008</v>
      </c>
      <c r="AB171" t="s">
        <v>3009</v>
      </c>
      <c r="AC171" t="s">
        <v>792</v>
      </c>
      <c r="AD171" t="s">
        <v>720</v>
      </c>
      <c r="AE171" t="s">
        <v>74</v>
      </c>
      <c r="AF171" t="s">
        <v>74</v>
      </c>
      <c r="AG171">
        <v>38</v>
      </c>
      <c r="AH171">
        <v>63</v>
      </c>
      <c r="AI171">
        <v>75</v>
      </c>
      <c r="AJ171">
        <v>0</v>
      </c>
      <c r="AK171">
        <v>25</v>
      </c>
      <c r="AL171" t="s">
        <v>2645</v>
      </c>
      <c r="AM171" t="s">
        <v>2646</v>
      </c>
      <c r="AN171" t="s">
        <v>2647</v>
      </c>
      <c r="AO171" t="s">
        <v>2648</v>
      </c>
      <c r="AP171" t="s">
        <v>2649</v>
      </c>
      <c r="AQ171" t="s">
        <v>74</v>
      </c>
      <c r="AR171" t="s">
        <v>2650</v>
      </c>
      <c r="AS171" t="s">
        <v>2651</v>
      </c>
      <c r="AT171" t="s">
        <v>74</v>
      </c>
      <c r="AU171">
        <v>2006</v>
      </c>
      <c r="AV171">
        <v>310</v>
      </c>
      <c r="AW171" t="s">
        <v>74</v>
      </c>
      <c r="AX171" t="s">
        <v>74</v>
      </c>
      <c r="AY171" t="s">
        <v>74</v>
      </c>
      <c r="AZ171" t="s">
        <v>74</v>
      </c>
      <c r="BA171" t="s">
        <v>74</v>
      </c>
      <c r="BB171">
        <v>65</v>
      </c>
      <c r="BC171">
        <v>76</v>
      </c>
      <c r="BD171" t="s">
        <v>74</v>
      </c>
      <c r="BE171" t="s">
        <v>3010</v>
      </c>
      <c r="BF171" t="str">
        <f>HYPERLINK("http://dx.doi.org/10.3354/meps310065","http://dx.doi.org/10.3354/meps310065")</f>
        <v>http://dx.doi.org/10.3354/meps310065</v>
      </c>
      <c r="BG171" t="s">
        <v>74</v>
      </c>
      <c r="BH171" t="s">
        <v>74</v>
      </c>
      <c r="BI171">
        <v>12</v>
      </c>
      <c r="BJ171" t="s">
        <v>2653</v>
      </c>
      <c r="BK171" t="s">
        <v>98</v>
      </c>
      <c r="BL171" t="s">
        <v>2654</v>
      </c>
      <c r="BM171" t="s">
        <v>2996</v>
      </c>
      <c r="BN171" t="s">
        <v>74</v>
      </c>
      <c r="BO171" t="s">
        <v>2248</v>
      </c>
      <c r="BP171" t="s">
        <v>74</v>
      </c>
      <c r="BQ171" t="s">
        <v>74</v>
      </c>
      <c r="BR171" t="s">
        <v>101</v>
      </c>
      <c r="BS171" t="s">
        <v>3011</v>
      </c>
      <c r="BT171" t="str">
        <f>HYPERLINK("https%3A%2F%2Fwww.webofscience.com%2Fwos%2Fwoscc%2Ffull-record%2FWOS:000237558000007","View Full Record in Web of Science")</f>
        <v>View Full Record in Web of Science</v>
      </c>
    </row>
    <row r="172" spans="1:72" x14ac:dyDescent="0.15">
      <c r="A172" t="s">
        <v>72</v>
      </c>
      <c r="B172" t="s">
        <v>3012</v>
      </c>
      <c r="C172" t="s">
        <v>74</v>
      </c>
      <c r="D172" t="s">
        <v>74</v>
      </c>
      <c r="E172" t="s">
        <v>74</v>
      </c>
      <c r="F172" t="s">
        <v>3013</v>
      </c>
      <c r="G172" t="s">
        <v>74</v>
      </c>
      <c r="H172" t="s">
        <v>74</v>
      </c>
      <c r="I172" t="s">
        <v>3014</v>
      </c>
      <c r="J172" t="s">
        <v>2635</v>
      </c>
      <c r="K172" t="s">
        <v>74</v>
      </c>
      <c r="L172" t="s">
        <v>74</v>
      </c>
      <c r="M172" t="s">
        <v>77</v>
      </c>
      <c r="N172" t="s">
        <v>78</v>
      </c>
      <c r="O172" t="s">
        <v>74</v>
      </c>
      <c r="P172" t="s">
        <v>74</v>
      </c>
      <c r="Q172" t="s">
        <v>74</v>
      </c>
      <c r="R172" t="s">
        <v>74</v>
      </c>
      <c r="S172" t="s">
        <v>74</v>
      </c>
      <c r="T172" t="s">
        <v>3015</v>
      </c>
      <c r="U172" t="s">
        <v>3016</v>
      </c>
      <c r="V172" t="s">
        <v>3017</v>
      </c>
      <c r="W172" t="s">
        <v>3018</v>
      </c>
      <c r="X172" t="s">
        <v>3019</v>
      </c>
      <c r="Y172" t="s">
        <v>3020</v>
      </c>
      <c r="Z172" t="s">
        <v>3021</v>
      </c>
      <c r="AA172" t="s">
        <v>3022</v>
      </c>
      <c r="AB172" t="s">
        <v>3023</v>
      </c>
      <c r="AC172" t="s">
        <v>74</v>
      </c>
      <c r="AD172" t="s">
        <v>74</v>
      </c>
      <c r="AE172" t="s">
        <v>74</v>
      </c>
      <c r="AF172" t="s">
        <v>74</v>
      </c>
      <c r="AG172">
        <v>76</v>
      </c>
      <c r="AH172">
        <v>76</v>
      </c>
      <c r="AI172">
        <v>85</v>
      </c>
      <c r="AJ172">
        <v>1</v>
      </c>
      <c r="AK172">
        <v>36</v>
      </c>
      <c r="AL172" t="s">
        <v>2645</v>
      </c>
      <c r="AM172" t="s">
        <v>2646</v>
      </c>
      <c r="AN172" t="s">
        <v>2647</v>
      </c>
      <c r="AO172" t="s">
        <v>2648</v>
      </c>
      <c r="AP172" t="s">
        <v>2649</v>
      </c>
      <c r="AQ172" t="s">
        <v>74</v>
      </c>
      <c r="AR172" t="s">
        <v>2650</v>
      </c>
      <c r="AS172" t="s">
        <v>2651</v>
      </c>
      <c r="AT172" t="s">
        <v>74</v>
      </c>
      <c r="AU172">
        <v>2006</v>
      </c>
      <c r="AV172">
        <v>310</v>
      </c>
      <c r="AW172" t="s">
        <v>74</v>
      </c>
      <c r="AX172" t="s">
        <v>74</v>
      </c>
      <c r="AY172" t="s">
        <v>74</v>
      </c>
      <c r="AZ172" t="s">
        <v>74</v>
      </c>
      <c r="BA172" t="s">
        <v>74</v>
      </c>
      <c r="BB172">
        <v>77</v>
      </c>
      <c r="BC172">
        <v>94</v>
      </c>
      <c r="BD172" t="s">
        <v>74</v>
      </c>
      <c r="BE172" t="s">
        <v>3024</v>
      </c>
      <c r="BF172" t="str">
        <f>HYPERLINK("http://dx.doi.org/10.3354/meps310077","http://dx.doi.org/10.3354/meps310077")</f>
        <v>http://dx.doi.org/10.3354/meps310077</v>
      </c>
      <c r="BG172" t="s">
        <v>74</v>
      </c>
      <c r="BH172" t="s">
        <v>74</v>
      </c>
      <c r="BI172">
        <v>18</v>
      </c>
      <c r="BJ172" t="s">
        <v>2653</v>
      </c>
      <c r="BK172" t="s">
        <v>98</v>
      </c>
      <c r="BL172" t="s">
        <v>2654</v>
      </c>
      <c r="BM172" t="s">
        <v>2996</v>
      </c>
      <c r="BN172" t="s">
        <v>74</v>
      </c>
      <c r="BO172" t="s">
        <v>1900</v>
      </c>
      <c r="BP172" t="s">
        <v>74</v>
      </c>
      <c r="BQ172" t="s">
        <v>74</v>
      </c>
      <c r="BR172" t="s">
        <v>101</v>
      </c>
      <c r="BS172" t="s">
        <v>3025</v>
      </c>
      <c r="BT172" t="str">
        <f>HYPERLINK("https%3A%2F%2Fwww.webofscience.com%2Fwos%2Fwoscc%2Ffull-record%2FWOS:000237558000008","View Full Record in Web of Science")</f>
        <v>View Full Record in Web of Science</v>
      </c>
    </row>
    <row r="173" spans="1:72" x14ac:dyDescent="0.15">
      <c r="A173" t="s">
        <v>72</v>
      </c>
      <c r="B173" t="s">
        <v>3026</v>
      </c>
      <c r="C173" t="s">
        <v>74</v>
      </c>
      <c r="D173" t="s">
        <v>74</v>
      </c>
      <c r="E173" t="s">
        <v>74</v>
      </c>
      <c r="F173" t="s">
        <v>3027</v>
      </c>
      <c r="G173" t="s">
        <v>74</v>
      </c>
      <c r="H173" t="s">
        <v>74</v>
      </c>
      <c r="I173" t="s">
        <v>3028</v>
      </c>
      <c r="J173" t="s">
        <v>2635</v>
      </c>
      <c r="K173" t="s">
        <v>74</v>
      </c>
      <c r="L173" t="s">
        <v>74</v>
      </c>
      <c r="M173" t="s">
        <v>77</v>
      </c>
      <c r="N173" t="s">
        <v>78</v>
      </c>
      <c r="O173" t="s">
        <v>74</v>
      </c>
      <c r="P173" t="s">
        <v>74</v>
      </c>
      <c r="Q173" t="s">
        <v>74</v>
      </c>
      <c r="R173" t="s">
        <v>74</v>
      </c>
      <c r="S173" t="s">
        <v>74</v>
      </c>
      <c r="T173" t="s">
        <v>3029</v>
      </c>
      <c r="U173" t="s">
        <v>3030</v>
      </c>
      <c r="V173" t="s">
        <v>3031</v>
      </c>
      <c r="W173" t="s">
        <v>273</v>
      </c>
      <c r="X173" t="s">
        <v>274</v>
      </c>
      <c r="Y173" t="s">
        <v>3032</v>
      </c>
      <c r="Z173" t="s">
        <v>3033</v>
      </c>
      <c r="AA173" t="s">
        <v>74</v>
      </c>
      <c r="AB173" t="s">
        <v>74</v>
      </c>
      <c r="AC173" t="s">
        <v>74</v>
      </c>
      <c r="AD173" t="s">
        <v>74</v>
      </c>
      <c r="AE173" t="s">
        <v>74</v>
      </c>
      <c r="AF173" t="s">
        <v>74</v>
      </c>
      <c r="AG173">
        <v>65</v>
      </c>
      <c r="AH173">
        <v>67</v>
      </c>
      <c r="AI173">
        <v>68</v>
      </c>
      <c r="AJ173">
        <v>0</v>
      </c>
      <c r="AK173">
        <v>36</v>
      </c>
      <c r="AL173" t="s">
        <v>2645</v>
      </c>
      <c r="AM173" t="s">
        <v>2646</v>
      </c>
      <c r="AN173" t="s">
        <v>2647</v>
      </c>
      <c r="AO173" t="s">
        <v>2648</v>
      </c>
      <c r="AP173" t="s">
        <v>2649</v>
      </c>
      <c r="AQ173" t="s">
        <v>74</v>
      </c>
      <c r="AR173" t="s">
        <v>2650</v>
      </c>
      <c r="AS173" t="s">
        <v>2651</v>
      </c>
      <c r="AT173" t="s">
        <v>74</v>
      </c>
      <c r="AU173">
        <v>2006</v>
      </c>
      <c r="AV173">
        <v>310</v>
      </c>
      <c r="AW173" t="s">
        <v>74</v>
      </c>
      <c r="AX173" t="s">
        <v>74</v>
      </c>
      <c r="AY173" t="s">
        <v>74</v>
      </c>
      <c r="AZ173" t="s">
        <v>74</v>
      </c>
      <c r="BA173" t="s">
        <v>74</v>
      </c>
      <c r="BB173">
        <v>247</v>
      </c>
      <c r="BC173">
        <v>261</v>
      </c>
      <c r="BD173" t="s">
        <v>74</v>
      </c>
      <c r="BE173" t="s">
        <v>3034</v>
      </c>
      <c r="BF173" t="str">
        <f>HYPERLINK("http://dx.doi.org/10.3354/meps310247","http://dx.doi.org/10.3354/meps310247")</f>
        <v>http://dx.doi.org/10.3354/meps310247</v>
      </c>
      <c r="BG173" t="s">
        <v>74</v>
      </c>
      <c r="BH173" t="s">
        <v>74</v>
      </c>
      <c r="BI173">
        <v>15</v>
      </c>
      <c r="BJ173" t="s">
        <v>2653</v>
      </c>
      <c r="BK173" t="s">
        <v>98</v>
      </c>
      <c r="BL173" t="s">
        <v>2654</v>
      </c>
      <c r="BM173" t="s">
        <v>2996</v>
      </c>
      <c r="BN173" t="s">
        <v>74</v>
      </c>
      <c r="BO173" t="s">
        <v>1900</v>
      </c>
      <c r="BP173" t="s">
        <v>74</v>
      </c>
      <c r="BQ173" t="s">
        <v>74</v>
      </c>
      <c r="BR173" t="s">
        <v>101</v>
      </c>
      <c r="BS173" t="s">
        <v>3035</v>
      </c>
      <c r="BT173" t="str">
        <f>HYPERLINK("https%3A%2F%2Fwww.webofscience.com%2Fwos%2Fwoscc%2Ffull-record%2FWOS:000237558000022","View Full Record in Web of Science")</f>
        <v>View Full Record in Web of Science</v>
      </c>
    </row>
    <row r="174" spans="1:72" x14ac:dyDescent="0.15">
      <c r="A174" t="s">
        <v>72</v>
      </c>
      <c r="B174" t="s">
        <v>3036</v>
      </c>
      <c r="C174" t="s">
        <v>74</v>
      </c>
      <c r="D174" t="s">
        <v>74</v>
      </c>
      <c r="E174" t="s">
        <v>74</v>
      </c>
      <c r="F174" t="s">
        <v>3036</v>
      </c>
      <c r="G174" t="s">
        <v>74</v>
      </c>
      <c r="H174" t="s">
        <v>74</v>
      </c>
      <c r="I174" t="s">
        <v>3037</v>
      </c>
      <c r="J174" t="s">
        <v>2635</v>
      </c>
      <c r="K174" t="s">
        <v>74</v>
      </c>
      <c r="L174" t="s">
        <v>74</v>
      </c>
      <c r="M174" t="s">
        <v>77</v>
      </c>
      <c r="N174" t="s">
        <v>78</v>
      </c>
      <c r="O174" t="s">
        <v>74</v>
      </c>
      <c r="P174" t="s">
        <v>74</v>
      </c>
      <c r="Q174" t="s">
        <v>74</v>
      </c>
      <c r="R174" t="s">
        <v>74</v>
      </c>
      <c r="S174" t="s">
        <v>74</v>
      </c>
      <c r="T174" t="s">
        <v>3038</v>
      </c>
      <c r="U174" t="s">
        <v>3039</v>
      </c>
      <c r="V174" t="s">
        <v>3040</v>
      </c>
      <c r="W174" t="s">
        <v>3041</v>
      </c>
      <c r="X174" t="s">
        <v>3042</v>
      </c>
      <c r="Y174" t="s">
        <v>3043</v>
      </c>
      <c r="Z174" t="s">
        <v>3044</v>
      </c>
      <c r="AA174" t="s">
        <v>3045</v>
      </c>
      <c r="AB174" t="s">
        <v>3046</v>
      </c>
      <c r="AC174" t="s">
        <v>74</v>
      </c>
      <c r="AD174" t="s">
        <v>74</v>
      </c>
      <c r="AE174" t="s">
        <v>74</v>
      </c>
      <c r="AF174" t="s">
        <v>74</v>
      </c>
      <c r="AG174">
        <v>56</v>
      </c>
      <c r="AH174">
        <v>86</v>
      </c>
      <c r="AI174">
        <v>103</v>
      </c>
      <c r="AJ174">
        <v>2</v>
      </c>
      <c r="AK174">
        <v>28</v>
      </c>
      <c r="AL174" t="s">
        <v>2645</v>
      </c>
      <c r="AM174" t="s">
        <v>2646</v>
      </c>
      <c r="AN174" t="s">
        <v>2647</v>
      </c>
      <c r="AO174" t="s">
        <v>2648</v>
      </c>
      <c r="AP174" t="s">
        <v>2649</v>
      </c>
      <c r="AQ174" t="s">
        <v>74</v>
      </c>
      <c r="AR174" t="s">
        <v>2650</v>
      </c>
      <c r="AS174" t="s">
        <v>2651</v>
      </c>
      <c r="AT174" t="s">
        <v>74</v>
      </c>
      <c r="AU174">
        <v>2006</v>
      </c>
      <c r="AV174">
        <v>309</v>
      </c>
      <c r="AW174" t="s">
        <v>74</v>
      </c>
      <c r="AX174" t="s">
        <v>74</v>
      </c>
      <c r="AY174" t="s">
        <v>74</v>
      </c>
      <c r="AZ174" t="s">
        <v>74</v>
      </c>
      <c r="BA174" t="s">
        <v>74</v>
      </c>
      <c r="BB174">
        <v>1</v>
      </c>
      <c r="BC174">
        <v>10</v>
      </c>
      <c r="BD174" t="s">
        <v>74</v>
      </c>
      <c r="BE174" t="s">
        <v>3047</v>
      </c>
      <c r="BF174" t="str">
        <f>HYPERLINK("http://dx.doi.org/10.3354/meps309001","http://dx.doi.org/10.3354/meps309001")</f>
        <v>http://dx.doi.org/10.3354/meps309001</v>
      </c>
      <c r="BG174" t="s">
        <v>74</v>
      </c>
      <c r="BH174" t="s">
        <v>74</v>
      </c>
      <c r="BI174">
        <v>10</v>
      </c>
      <c r="BJ174" t="s">
        <v>2653</v>
      </c>
      <c r="BK174" t="s">
        <v>98</v>
      </c>
      <c r="BL174" t="s">
        <v>2654</v>
      </c>
      <c r="BM174" t="s">
        <v>3048</v>
      </c>
      <c r="BN174" t="s">
        <v>74</v>
      </c>
      <c r="BO174" t="s">
        <v>2248</v>
      </c>
      <c r="BP174" t="s">
        <v>74</v>
      </c>
      <c r="BQ174" t="s">
        <v>74</v>
      </c>
      <c r="BR174" t="s">
        <v>101</v>
      </c>
      <c r="BS174" t="s">
        <v>3049</v>
      </c>
      <c r="BT174" t="str">
        <f>HYPERLINK("https%3A%2F%2Fwww.webofscience.com%2Fwos%2Fwoscc%2Ffull-record%2FWOS:000237020200001","View Full Record in Web of Science")</f>
        <v>View Full Record in Web of Science</v>
      </c>
    </row>
    <row r="175" spans="1:72" x14ac:dyDescent="0.15">
      <c r="A175" t="s">
        <v>72</v>
      </c>
      <c r="B175" t="s">
        <v>3050</v>
      </c>
      <c r="C175" t="s">
        <v>74</v>
      </c>
      <c r="D175" t="s">
        <v>74</v>
      </c>
      <c r="E175" t="s">
        <v>74</v>
      </c>
      <c r="F175" t="s">
        <v>3050</v>
      </c>
      <c r="G175" t="s">
        <v>74</v>
      </c>
      <c r="H175" t="s">
        <v>74</v>
      </c>
      <c r="I175" t="s">
        <v>3051</v>
      </c>
      <c r="J175" t="s">
        <v>2635</v>
      </c>
      <c r="K175" t="s">
        <v>74</v>
      </c>
      <c r="L175" t="s">
        <v>74</v>
      </c>
      <c r="M175" t="s">
        <v>77</v>
      </c>
      <c r="N175" t="s">
        <v>78</v>
      </c>
      <c r="O175" t="s">
        <v>74</v>
      </c>
      <c r="P175" t="s">
        <v>74</v>
      </c>
      <c r="Q175" t="s">
        <v>74</v>
      </c>
      <c r="R175" t="s">
        <v>74</v>
      </c>
      <c r="S175" t="s">
        <v>74</v>
      </c>
      <c r="T175" t="s">
        <v>3052</v>
      </c>
      <c r="U175" t="s">
        <v>3053</v>
      </c>
      <c r="V175" t="s">
        <v>3054</v>
      </c>
      <c r="W175" t="s">
        <v>801</v>
      </c>
      <c r="X175" t="s">
        <v>788</v>
      </c>
      <c r="Y175" t="s">
        <v>3055</v>
      </c>
      <c r="Z175" t="s">
        <v>3056</v>
      </c>
      <c r="AA175" t="s">
        <v>3057</v>
      </c>
      <c r="AB175" t="s">
        <v>3058</v>
      </c>
      <c r="AC175" t="s">
        <v>792</v>
      </c>
      <c r="AD175" t="s">
        <v>720</v>
      </c>
      <c r="AE175" t="s">
        <v>74</v>
      </c>
      <c r="AF175" t="s">
        <v>74</v>
      </c>
      <c r="AG175">
        <v>61</v>
      </c>
      <c r="AH175">
        <v>34</v>
      </c>
      <c r="AI175">
        <v>35</v>
      </c>
      <c r="AJ175">
        <v>0</v>
      </c>
      <c r="AK175">
        <v>10</v>
      </c>
      <c r="AL175" t="s">
        <v>2645</v>
      </c>
      <c r="AM175" t="s">
        <v>2646</v>
      </c>
      <c r="AN175" t="s">
        <v>2647</v>
      </c>
      <c r="AO175" t="s">
        <v>2648</v>
      </c>
      <c r="AP175" t="s">
        <v>2649</v>
      </c>
      <c r="AQ175" t="s">
        <v>74</v>
      </c>
      <c r="AR175" t="s">
        <v>2650</v>
      </c>
      <c r="AS175" t="s">
        <v>2651</v>
      </c>
      <c r="AT175" t="s">
        <v>74</v>
      </c>
      <c r="AU175">
        <v>2006</v>
      </c>
      <c r="AV175">
        <v>309</v>
      </c>
      <c r="AW175" t="s">
        <v>74</v>
      </c>
      <c r="AX175" t="s">
        <v>74</v>
      </c>
      <c r="AY175" t="s">
        <v>74</v>
      </c>
      <c r="AZ175" t="s">
        <v>74</v>
      </c>
      <c r="BA175" t="s">
        <v>74</v>
      </c>
      <c r="BB175">
        <v>75</v>
      </c>
      <c r="BC175">
        <v>91</v>
      </c>
      <c r="BD175" t="s">
        <v>74</v>
      </c>
      <c r="BE175" t="s">
        <v>3059</v>
      </c>
      <c r="BF175" t="str">
        <f>HYPERLINK("http://dx.doi.org/10.3354/meps309075","http://dx.doi.org/10.3354/meps309075")</f>
        <v>http://dx.doi.org/10.3354/meps309075</v>
      </c>
      <c r="BG175" t="s">
        <v>74</v>
      </c>
      <c r="BH175" t="s">
        <v>74</v>
      </c>
      <c r="BI175">
        <v>17</v>
      </c>
      <c r="BJ175" t="s">
        <v>2653</v>
      </c>
      <c r="BK175" t="s">
        <v>98</v>
      </c>
      <c r="BL175" t="s">
        <v>2654</v>
      </c>
      <c r="BM175" t="s">
        <v>3048</v>
      </c>
      <c r="BN175" t="s">
        <v>74</v>
      </c>
      <c r="BO175" t="s">
        <v>2728</v>
      </c>
      <c r="BP175" t="s">
        <v>74</v>
      </c>
      <c r="BQ175" t="s">
        <v>74</v>
      </c>
      <c r="BR175" t="s">
        <v>101</v>
      </c>
      <c r="BS175" t="s">
        <v>3060</v>
      </c>
      <c r="BT175" t="str">
        <f>HYPERLINK("https%3A%2F%2Fwww.webofscience.com%2Fwos%2Fwoscc%2Ffull-record%2FWOS:000237020200007","View Full Record in Web of Science")</f>
        <v>View Full Record in Web of Science</v>
      </c>
    </row>
    <row r="176" spans="1:72" x14ac:dyDescent="0.15">
      <c r="A176" t="s">
        <v>72</v>
      </c>
      <c r="B176" t="s">
        <v>3061</v>
      </c>
      <c r="C176" t="s">
        <v>74</v>
      </c>
      <c r="D176" t="s">
        <v>74</v>
      </c>
      <c r="E176" t="s">
        <v>74</v>
      </c>
      <c r="F176" t="s">
        <v>3061</v>
      </c>
      <c r="G176" t="s">
        <v>74</v>
      </c>
      <c r="H176" t="s">
        <v>74</v>
      </c>
      <c r="I176" t="s">
        <v>3062</v>
      </c>
      <c r="J176" t="s">
        <v>2635</v>
      </c>
      <c r="K176" t="s">
        <v>74</v>
      </c>
      <c r="L176" t="s">
        <v>74</v>
      </c>
      <c r="M176" t="s">
        <v>77</v>
      </c>
      <c r="N176" t="s">
        <v>78</v>
      </c>
      <c r="O176" t="s">
        <v>74</v>
      </c>
      <c r="P176" t="s">
        <v>74</v>
      </c>
      <c r="Q176" t="s">
        <v>74</v>
      </c>
      <c r="R176" t="s">
        <v>74</v>
      </c>
      <c r="S176" t="s">
        <v>74</v>
      </c>
      <c r="T176" t="s">
        <v>3063</v>
      </c>
      <c r="U176" t="s">
        <v>3064</v>
      </c>
      <c r="V176" t="s">
        <v>3065</v>
      </c>
      <c r="W176" t="s">
        <v>3066</v>
      </c>
      <c r="X176" t="s">
        <v>3067</v>
      </c>
      <c r="Y176" t="s">
        <v>3068</v>
      </c>
      <c r="Z176" t="s">
        <v>3069</v>
      </c>
      <c r="AA176" t="s">
        <v>3070</v>
      </c>
      <c r="AB176" t="s">
        <v>3071</v>
      </c>
      <c r="AC176" t="s">
        <v>74</v>
      </c>
      <c r="AD176" t="s">
        <v>74</v>
      </c>
      <c r="AE176" t="s">
        <v>74</v>
      </c>
      <c r="AF176" t="s">
        <v>74</v>
      </c>
      <c r="AG176">
        <v>21</v>
      </c>
      <c r="AH176">
        <v>21</v>
      </c>
      <c r="AI176">
        <v>23</v>
      </c>
      <c r="AJ176">
        <v>1</v>
      </c>
      <c r="AK176">
        <v>9</v>
      </c>
      <c r="AL176" t="s">
        <v>2645</v>
      </c>
      <c r="AM176" t="s">
        <v>2646</v>
      </c>
      <c r="AN176" t="s">
        <v>2647</v>
      </c>
      <c r="AO176" t="s">
        <v>2648</v>
      </c>
      <c r="AP176" t="s">
        <v>2649</v>
      </c>
      <c r="AQ176" t="s">
        <v>74</v>
      </c>
      <c r="AR176" t="s">
        <v>2650</v>
      </c>
      <c r="AS176" t="s">
        <v>2651</v>
      </c>
      <c r="AT176" t="s">
        <v>74</v>
      </c>
      <c r="AU176">
        <v>2006</v>
      </c>
      <c r="AV176">
        <v>309</v>
      </c>
      <c r="AW176" t="s">
        <v>74</v>
      </c>
      <c r="AX176" t="s">
        <v>74</v>
      </c>
      <c r="AY176" t="s">
        <v>74</v>
      </c>
      <c r="AZ176" t="s">
        <v>74</v>
      </c>
      <c r="BA176" t="s">
        <v>74</v>
      </c>
      <c r="BB176">
        <v>297</v>
      </c>
      <c r="BC176">
        <v>300</v>
      </c>
      <c r="BD176" t="s">
        <v>74</v>
      </c>
      <c r="BE176" t="s">
        <v>3072</v>
      </c>
      <c r="BF176" t="str">
        <f>HYPERLINK("http://dx.doi.org/10.3354/meps309297","http://dx.doi.org/10.3354/meps309297")</f>
        <v>http://dx.doi.org/10.3354/meps309297</v>
      </c>
      <c r="BG176" t="s">
        <v>74</v>
      </c>
      <c r="BH176" t="s">
        <v>74</v>
      </c>
      <c r="BI176">
        <v>4</v>
      </c>
      <c r="BJ176" t="s">
        <v>2653</v>
      </c>
      <c r="BK176" t="s">
        <v>98</v>
      </c>
      <c r="BL176" t="s">
        <v>2654</v>
      </c>
      <c r="BM176" t="s">
        <v>3048</v>
      </c>
      <c r="BN176" t="s">
        <v>74</v>
      </c>
      <c r="BO176" t="s">
        <v>74</v>
      </c>
      <c r="BP176" t="s">
        <v>74</v>
      </c>
      <c r="BQ176" t="s">
        <v>74</v>
      </c>
      <c r="BR176" t="s">
        <v>101</v>
      </c>
      <c r="BS176" t="s">
        <v>3073</v>
      </c>
      <c r="BT176" t="str">
        <f>HYPERLINK("https%3A%2F%2Fwww.webofscience.com%2Fwos%2Fwoscc%2Ffull-record%2FWOS:000237020200024","View Full Record in Web of Science")</f>
        <v>View Full Record in Web of Science</v>
      </c>
    </row>
    <row r="177" spans="1:72" x14ac:dyDescent="0.15">
      <c r="A177" t="s">
        <v>72</v>
      </c>
      <c r="B177" t="s">
        <v>3074</v>
      </c>
      <c r="C177" t="s">
        <v>74</v>
      </c>
      <c r="D177" t="s">
        <v>74</v>
      </c>
      <c r="E177" t="s">
        <v>74</v>
      </c>
      <c r="F177" t="s">
        <v>3074</v>
      </c>
      <c r="G177" t="s">
        <v>74</v>
      </c>
      <c r="H177" t="s">
        <v>74</v>
      </c>
      <c r="I177" t="s">
        <v>3075</v>
      </c>
      <c r="J177" t="s">
        <v>2635</v>
      </c>
      <c r="K177" t="s">
        <v>74</v>
      </c>
      <c r="L177" t="s">
        <v>74</v>
      </c>
      <c r="M177" t="s">
        <v>77</v>
      </c>
      <c r="N177" t="s">
        <v>78</v>
      </c>
      <c r="O177" t="s">
        <v>74</v>
      </c>
      <c r="P177" t="s">
        <v>74</v>
      </c>
      <c r="Q177" t="s">
        <v>74</v>
      </c>
      <c r="R177" t="s">
        <v>74</v>
      </c>
      <c r="S177" t="s">
        <v>74</v>
      </c>
      <c r="T177" t="s">
        <v>3076</v>
      </c>
      <c r="U177" t="s">
        <v>3077</v>
      </c>
      <c r="V177" t="s">
        <v>3078</v>
      </c>
      <c r="W177" t="s">
        <v>3079</v>
      </c>
      <c r="X177" t="s">
        <v>3080</v>
      </c>
      <c r="Y177" t="s">
        <v>3081</v>
      </c>
      <c r="Z177" t="s">
        <v>3082</v>
      </c>
      <c r="AA177" t="s">
        <v>960</v>
      </c>
      <c r="AB177" t="s">
        <v>3083</v>
      </c>
      <c r="AC177" t="s">
        <v>74</v>
      </c>
      <c r="AD177" t="s">
        <v>74</v>
      </c>
      <c r="AE177" t="s">
        <v>74</v>
      </c>
      <c r="AF177" t="s">
        <v>74</v>
      </c>
      <c r="AG177">
        <v>80</v>
      </c>
      <c r="AH177">
        <v>33</v>
      </c>
      <c r="AI177">
        <v>37</v>
      </c>
      <c r="AJ177">
        <v>0</v>
      </c>
      <c r="AK177">
        <v>7</v>
      </c>
      <c r="AL177" t="s">
        <v>2645</v>
      </c>
      <c r="AM177" t="s">
        <v>2646</v>
      </c>
      <c r="AN177" t="s">
        <v>2647</v>
      </c>
      <c r="AO177" t="s">
        <v>2648</v>
      </c>
      <c r="AP177" t="s">
        <v>2649</v>
      </c>
      <c r="AQ177" t="s">
        <v>74</v>
      </c>
      <c r="AR177" t="s">
        <v>2650</v>
      </c>
      <c r="AS177" t="s">
        <v>2651</v>
      </c>
      <c r="AT177" t="s">
        <v>74</v>
      </c>
      <c r="AU177">
        <v>2006</v>
      </c>
      <c r="AV177">
        <v>307</v>
      </c>
      <c r="AW177" t="s">
        <v>74</v>
      </c>
      <c r="AX177" t="s">
        <v>74</v>
      </c>
      <c r="AY177" t="s">
        <v>74</v>
      </c>
      <c r="AZ177" t="s">
        <v>74</v>
      </c>
      <c r="BA177" t="s">
        <v>74</v>
      </c>
      <c r="BB177">
        <v>187</v>
      </c>
      <c r="BC177">
        <v>198</v>
      </c>
      <c r="BD177" t="s">
        <v>74</v>
      </c>
      <c r="BE177" t="s">
        <v>3084</v>
      </c>
      <c r="BF177" t="str">
        <f>HYPERLINK("http://dx.doi.org/10.3354/meps307187","http://dx.doi.org/10.3354/meps307187")</f>
        <v>http://dx.doi.org/10.3354/meps307187</v>
      </c>
      <c r="BG177" t="s">
        <v>74</v>
      </c>
      <c r="BH177" t="s">
        <v>74</v>
      </c>
      <c r="BI177">
        <v>12</v>
      </c>
      <c r="BJ177" t="s">
        <v>2653</v>
      </c>
      <c r="BK177" t="s">
        <v>98</v>
      </c>
      <c r="BL177" t="s">
        <v>2654</v>
      </c>
      <c r="BM177" t="s">
        <v>3085</v>
      </c>
      <c r="BN177" t="s">
        <v>74</v>
      </c>
      <c r="BO177" t="s">
        <v>1900</v>
      </c>
      <c r="BP177" t="s">
        <v>74</v>
      </c>
      <c r="BQ177" t="s">
        <v>74</v>
      </c>
      <c r="BR177" t="s">
        <v>101</v>
      </c>
      <c r="BS177" t="s">
        <v>3086</v>
      </c>
      <c r="BT177" t="str">
        <f>HYPERLINK("https%3A%2F%2Fwww.webofscience.com%2Fwos%2Fwoscc%2Ffull-record%2FWOS:000235775700015","View Full Record in Web of Science")</f>
        <v>View Full Record in Web of Science</v>
      </c>
    </row>
    <row r="178" spans="1:72" x14ac:dyDescent="0.15">
      <c r="A178" t="s">
        <v>72</v>
      </c>
      <c r="B178" t="s">
        <v>3087</v>
      </c>
      <c r="C178" t="s">
        <v>74</v>
      </c>
      <c r="D178" t="s">
        <v>74</v>
      </c>
      <c r="E178" t="s">
        <v>74</v>
      </c>
      <c r="F178" t="s">
        <v>3087</v>
      </c>
      <c r="G178" t="s">
        <v>74</v>
      </c>
      <c r="H178" t="s">
        <v>74</v>
      </c>
      <c r="I178" t="s">
        <v>3088</v>
      </c>
      <c r="J178" t="s">
        <v>2635</v>
      </c>
      <c r="K178" t="s">
        <v>74</v>
      </c>
      <c r="L178" t="s">
        <v>74</v>
      </c>
      <c r="M178" t="s">
        <v>77</v>
      </c>
      <c r="N178" t="s">
        <v>78</v>
      </c>
      <c r="O178" t="s">
        <v>74</v>
      </c>
      <c r="P178" t="s">
        <v>74</v>
      </c>
      <c r="Q178" t="s">
        <v>74</v>
      </c>
      <c r="R178" t="s">
        <v>74</v>
      </c>
      <c r="S178" t="s">
        <v>74</v>
      </c>
      <c r="T178" t="s">
        <v>3089</v>
      </c>
      <c r="U178" t="s">
        <v>3090</v>
      </c>
      <c r="V178" t="s">
        <v>3091</v>
      </c>
      <c r="W178" t="s">
        <v>3092</v>
      </c>
      <c r="X178" t="s">
        <v>3093</v>
      </c>
      <c r="Y178" t="s">
        <v>3094</v>
      </c>
      <c r="Z178" t="s">
        <v>3095</v>
      </c>
      <c r="AA178" t="s">
        <v>74</v>
      </c>
      <c r="AB178" t="s">
        <v>3096</v>
      </c>
      <c r="AC178" t="s">
        <v>74</v>
      </c>
      <c r="AD178" t="s">
        <v>74</v>
      </c>
      <c r="AE178" t="s">
        <v>74</v>
      </c>
      <c r="AF178" t="s">
        <v>74</v>
      </c>
      <c r="AG178">
        <v>65</v>
      </c>
      <c r="AH178">
        <v>69</v>
      </c>
      <c r="AI178">
        <v>79</v>
      </c>
      <c r="AJ178">
        <v>0</v>
      </c>
      <c r="AK178">
        <v>23</v>
      </c>
      <c r="AL178" t="s">
        <v>2645</v>
      </c>
      <c r="AM178" t="s">
        <v>2646</v>
      </c>
      <c r="AN178" t="s">
        <v>2647</v>
      </c>
      <c r="AO178" t="s">
        <v>2648</v>
      </c>
      <c r="AP178" t="s">
        <v>2649</v>
      </c>
      <c r="AQ178" t="s">
        <v>74</v>
      </c>
      <c r="AR178" t="s">
        <v>2650</v>
      </c>
      <c r="AS178" t="s">
        <v>2651</v>
      </c>
      <c r="AT178" t="s">
        <v>74</v>
      </c>
      <c r="AU178">
        <v>2006</v>
      </c>
      <c r="AV178">
        <v>307</v>
      </c>
      <c r="AW178" t="s">
        <v>74</v>
      </c>
      <c r="AX178" t="s">
        <v>74</v>
      </c>
      <c r="AY178" t="s">
        <v>74</v>
      </c>
      <c r="AZ178" t="s">
        <v>74</v>
      </c>
      <c r="BA178" t="s">
        <v>74</v>
      </c>
      <c r="BB178">
        <v>259</v>
      </c>
      <c r="BC178">
        <v>272</v>
      </c>
      <c r="BD178" t="s">
        <v>74</v>
      </c>
      <c r="BE178" t="s">
        <v>3097</v>
      </c>
      <c r="BF178" t="str">
        <f>HYPERLINK("http://dx.doi.org/10.3354/meps307259","http://dx.doi.org/10.3354/meps307259")</f>
        <v>http://dx.doi.org/10.3354/meps307259</v>
      </c>
      <c r="BG178" t="s">
        <v>74</v>
      </c>
      <c r="BH178" t="s">
        <v>74</v>
      </c>
      <c r="BI178">
        <v>14</v>
      </c>
      <c r="BJ178" t="s">
        <v>2653</v>
      </c>
      <c r="BK178" t="s">
        <v>98</v>
      </c>
      <c r="BL178" t="s">
        <v>2654</v>
      </c>
      <c r="BM178" t="s">
        <v>3085</v>
      </c>
      <c r="BN178" t="s">
        <v>74</v>
      </c>
      <c r="BO178" t="s">
        <v>2728</v>
      </c>
      <c r="BP178" t="s">
        <v>74</v>
      </c>
      <c r="BQ178" t="s">
        <v>74</v>
      </c>
      <c r="BR178" t="s">
        <v>101</v>
      </c>
      <c r="BS178" t="s">
        <v>3098</v>
      </c>
      <c r="BT178" t="str">
        <f>HYPERLINK("https%3A%2F%2Fwww.webofscience.com%2Fwos%2Fwoscc%2Ffull-record%2FWOS:000235775700021","View Full Record in Web of Science")</f>
        <v>View Full Record in Web of Science</v>
      </c>
    </row>
    <row r="179" spans="1:72" x14ac:dyDescent="0.15">
      <c r="A179" t="s">
        <v>72</v>
      </c>
      <c r="B179" t="s">
        <v>3099</v>
      </c>
      <c r="C179" t="s">
        <v>74</v>
      </c>
      <c r="D179" t="s">
        <v>74</v>
      </c>
      <c r="E179" t="s">
        <v>74</v>
      </c>
      <c r="F179" t="s">
        <v>3099</v>
      </c>
      <c r="G179" t="s">
        <v>74</v>
      </c>
      <c r="H179" t="s">
        <v>74</v>
      </c>
      <c r="I179" t="s">
        <v>3100</v>
      </c>
      <c r="J179" t="s">
        <v>2635</v>
      </c>
      <c r="K179" t="s">
        <v>74</v>
      </c>
      <c r="L179" t="s">
        <v>74</v>
      </c>
      <c r="M179" t="s">
        <v>77</v>
      </c>
      <c r="N179" t="s">
        <v>289</v>
      </c>
      <c r="O179" t="s">
        <v>74</v>
      </c>
      <c r="P179" t="s">
        <v>74</v>
      </c>
      <c r="Q179" t="s">
        <v>74</v>
      </c>
      <c r="R179" t="s">
        <v>74</v>
      </c>
      <c r="S179" t="s">
        <v>74</v>
      </c>
      <c r="T179" t="s">
        <v>3101</v>
      </c>
      <c r="U179" t="s">
        <v>3102</v>
      </c>
      <c r="V179" t="s">
        <v>3103</v>
      </c>
      <c r="W179" t="s">
        <v>3104</v>
      </c>
      <c r="X179" t="s">
        <v>3105</v>
      </c>
      <c r="Y179" t="s">
        <v>3106</v>
      </c>
      <c r="Z179" t="s">
        <v>3107</v>
      </c>
      <c r="AA179" t="s">
        <v>74</v>
      </c>
      <c r="AB179" t="s">
        <v>3108</v>
      </c>
      <c r="AC179" t="s">
        <v>74</v>
      </c>
      <c r="AD179" t="s">
        <v>74</v>
      </c>
      <c r="AE179" t="s">
        <v>74</v>
      </c>
      <c r="AF179" t="s">
        <v>74</v>
      </c>
      <c r="AG179">
        <v>341</v>
      </c>
      <c r="AH179">
        <v>573</v>
      </c>
      <c r="AI179">
        <v>640</v>
      </c>
      <c r="AJ179">
        <v>2</v>
      </c>
      <c r="AK179">
        <v>196</v>
      </c>
      <c r="AL179" t="s">
        <v>2645</v>
      </c>
      <c r="AM179" t="s">
        <v>2646</v>
      </c>
      <c r="AN179" t="s">
        <v>2647</v>
      </c>
      <c r="AO179" t="s">
        <v>2648</v>
      </c>
      <c r="AP179" t="s">
        <v>2649</v>
      </c>
      <c r="AQ179" t="s">
        <v>74</v>
      </c>
      <c r="AR179" t="s">
        <v>2650</v>
      </c>
      <c r="AS179" t="s">
        <v>2651</v>
      </c>
      <c r="AT179" t="s">
        <v>74</v>
      </c>
      <c r="AU179">
        <v>2006</v>
      </c>
      <c r="AV179">
        <v>307</v>
      </c>
      <c r="AW179" t="s">
        <v>74</v>
      </c>
      <c r="AX179" t="s">
        <v>74</v>
      </c>
      <c r="AY179" t="s">
        <v>74</v>
      </c>
      <c r="AZ179" t="s">
        <v>74</v>
      </c>
      <c r="BA179" t="s">
        <v>74</v>
      </c>
      <c r="BB179">
        <v>273</v>
      </c>
      <c r="BC179">
        <v>306</v>
      </c>
      <c r="BD179" t="s">
        <v>74</v>
      </c>
      <c r="BE179" t="s">
        <v>3109</v>
      </c>
      <c r="BF179" t="str">
        <f>HYPERLINK("http://dx.doi.org/10.3354/meps307273","http://dx.doi.org/10.3354/meps307273")</f>
        <v>http://dx.doi.org/10.3354/meps307273</v>
      </c>
      <c r="BG179" t="s">
        <v>74</v>
      </c>
      <c r="BH179" t="s">
        <v>74</v>
      </c>
      <c r="BI179">
        <v>34</v>
      </c>
      <c r="BJ179" t="s">
        <v>2653</v>
      </c>
      <c r="BK179" t="s">
        <v>98</v>
      </c>
      <c r="BL179" t="s">
        <v>2654</v>
      </c>
      <c r="BM179" t="s">
        <v>3085</v>
      </c>
      <c r="BN179" t="s">
        <v>74</v>
      </c>
      <c r="BO179" t="s">
        <v>1900</v>
      </c>
      <c r="BP179" t="s">
        <v>74</v>
      </c>
      <c r="BQ179" t="s">
        <v>74</v>
      </c>
      <c r="BR179" t="s">
        <v>101</v>
      </c>
      <c r="BS179" t="s">
        <v>3110</v>
      </c>
      <c r="BT179" t="str">
        <f>HYPERLINK("https%3A%2F%2Fwww.webofscience.com%2Fwos%2Fwoscc%2Ffull-record%2FWOS:000235775700022","View Full Record in Web of Science")</f>
        <v>View Full Record in Web of Science</v>
      </c>
    </row>
    <row r="180" spans="1:72" x14ac:dyDescent="0.15">
      <c r="A180" t="s">
        <v>72</v>
      </c>
      <c r="B180" t="s">
        <v>3111</v>
      </c>
      <c r="C180" t="s">
        <v>74</v>
      </c>
      <c r="D180" t="s">
        <v>74</v>
      </c>
      <c r="E180" t="s">
        <v>74</v>
      </c>
      <c r="F180" t="s">
        <v>3111</v>
      </c>
      <c r="G180" t="s">
        <v>74</v>
      </c>
      <c r="H180" t="s">
        <v>74</v>
      </c>
      <c r="I180" t="s">
        <v>3112</v>
      </c>
      <c r="J180" t="s">
        <v>2635</v>
      </c>
      <c r="K180" t="s">
        <v>74</v>
      </c>
      <c r="L180" t="s">
        <v>74</v>
      </c>
      <c r="M180" t="s">
        <v>77</v>
      </c>
      <c r="N180" t="s">
        <v>78</v>
      </c>
      <c r="O180" t="s">
        <v>74</v>
      </c>
      <c r="P180" t="s">
        <v>74</v>
      </c>
      <c r="Q180" t="s">
        <v>74</v>
      </c>
      <c r="R180" t="s">
        <v>74</v>
      </c>
      <c r="S180" t="s">
        <v>74</v>
      </c>
      <c r="T180" t="s">
        <v>3113</v>
      </c>
      <c r="U180" t="s">
        <v>3114</v>
      </c>
      <c r="V180" t="s">
        <v>3115</v>
      </c>
      <c r="W180" t="s">
        <v>3116</v>
      </c>
      <c r="X180" t="s">
        <v>248</v>
      </c>
      <c r="Y180" t="s">
        <v>3117</v>
      </c>
      <c r="Z180" t="s">
        <v>250</v>
      </c>
      <c r="AA180" t="s">
        <v>251</v>
      </c>
      <c r="AB180" t="s">
        <v>3118</v>
      </c>
      <c r="AC180" t="s">
        <v>74</v>
      </c>
      <c r="AD180" t="s">
        <v>74</v>
      </c>
      <c r="AE180" t="s">
        <v>74</v>
      </c>
      <c r="AF180" t="s">
        <v>74</v>
      </c>
      <c r="AG180">
        <v>46</v>
      </c>
      <c r="AH180">
        <v>56</v>
      </c>
      <c r="AI180">
        <v>65</v>
      </c>
      <c r="AJ180">
        <v>0</v>
      </c>
      <c r="AK180">
        <v>25</v>
      </c>
      <c r="AL180" t="s">
        <v>2645</v>
      </c>
      <c r="AM180" t="s">
        <v>2646</v>
      </c>
      <c r="AN180" t="s">
        <v>2647</v>
      </c>
      <c r="AO180" t="s">
        <v>2648</v>
      </c>
      <c r="AP180" t="s">
        <v>2649</v>
      </c>
      <c r="AQ180" t="s">
        <v>74</v>
      </c>
      <c r="AR180" t="s">
        <v>2650</v>
      </c>
      <c r="AS180" t="s">
        <v>2651</v>
      </c>
      <c r="AT180" t="s">
        <v>74</v>
      </c>
      <c r="AU180">
        <v>2006</v>
      </c>
      <c r="AV180">
        <v>306</v>
      </c>
      <c r="AW180" t="s">
        <v>74</v>
      </c>
      <c r="AX180" t="s">
        <v>74</v>
      </c>
      <c r="AY180" t="s">
        <v>74</v>
      </c>
      <c r="AZ180" t="s">
        <v>74</v>
      </c>
      <c r="BA180" t="s">
        <v>74</v>
      </c>
      <c r="BB180">
        <v>1</v>
      </c>
      <c r="BC180">
        <v>15</v>
      </c>
      <c r="BD180" t="s">
        <v>74</v>
      </c>
      <c r="BE180" t="s">
        <v>3119</v>
      </c>
      <c r="BF180" t="str">
        <f>HYPERLINK("http://dx.doi.org/10.3354/meps306001","http://dx.doi.org/10.3354/meps306001")</f>
        <v>http://dx.doi.org/10.3354/meps306001</v>
      </c>
      <c r="BG180" t="s">
        <v>74</v>
      </c>
      <c r="BH180" t="s">
        <v>74</v>
      </c>
      <c r="BI180">
        <v>15</v>
      </c>
      <c r="BJ180" t="s">
        <v>2653</v>
      </c>
      <c r="BK180" t="s">
        <v>98</v>
      </c>
      <c r="BL180" t="s">
        <v>2654</v>
      </c>
      <c r="BM180" t="s">
        <v>3120</v>
      </c>
      <c r="BN180" t="s">
        <v>74</v>
      </c>
      <c r="BO180" t="s">
        <v>1900</v>
      </c>
      <c r="BP180" t="s">
        <v>74</v>
      </c>
      <c r="BQ180" t="s">
        <v>74</v>
      </c>
      <c r="BR180" t="s">
        <v>101</v>
      </c>
      <c r="BS180" t="s">
        <v>3121</v>
      </c>
      <c r="BT180" t="str">
        <f>HYPERLINK("https%3A%2F%2Fwww.webofscience.com%2Fwos%2Fwoscc%2Ffull-record%2FWOS:000235518100001","View Full Record in Web of Science")</f>
        <v>View Full Record in Web of Science</v>
      </c>
    </row>
    <row r="181" spans="1:72" x14ac:dyDescent="0.15">
      <c r="A181" t="s">
        <v>72</v>
      </c>
      <c r="B181" t="s">
        <v>3122</v>
      </c>
      <c r="C181" t="s">
        <v>74</v>
      </c>
      <c r="D181" t="s">
        <v>74</v>
      </c>
      <c r="E181" t="s">
        <v>74</v>
      </c>
      <c r="F181" t="s">
        <v>3122</v>
      </c>
      <c r="G181" t="s">
        <v>74</v>
      </c>
      <c r="H181" t="s">
        <v>74</v>
      </c>
      <c r="I181" t="s">
        <v>3123</v>
      </c>
      <c r="J181" t="s">
        <v>2635</v>
      </c>
      <c r="K181" t="s">
        <v>74</v>
      </c>
      <c r="L181" t="s">
        <v>74</v>
      </c>
      <c r="M181" t="s">
        <v>77</v>
      </c>
      <c r="N181" t="s">
        <v>78</v>
      </c>
      <c r="O181" t="s">
        <v>74</v>
      </c>
      <c r="P181" t="s">
        <v>74</v>
      </c>
      <c r="Q181" t="s">
        <v>74</v>
      </c>
      <c r="R181" t="s">
        <v>74</v>
      </c>
      <c r="S181" t="s">
        <v>74</v>
      </c>
      <c r="T181" t="s">
        <v>3124</v>
      </c>
      <c r="U181" t="s">
        <v>3125</v>
      </c>
      <c r="V181" t="s">
        <v>3126</v>
      </c>
      <c r="W181" t="s">
        <v>273</v>
      </c>
      <c r="X181" t="s">
        <v>274</v>
      </c>
      <c r="Y181" t="s">
        <v>3117</v>
      </c>
      <c r="Z181" t="s">
        <v>3127</v>
      </c>
      <c r="AA181" t="s">
        <v>251</v>
      </c>
      <c r="AB181" t="s">
        <v>252</v>
      </c>
      <c r="AC181" t="s">
        <v>74</v>
      </c>
      <c r="AD181" t="s">
        <v>74</v>
      </c>
      <c r="AE181" t="s">
        <v>74</v>
      </c>
      <c r="AF181" t="s">
        <v>74</v>
      </c>
      <c r="AG181">
        <v>34</v>
      </c>
      <c r="AH181">
        <v>30</v>
      </c>
      <c r="AI181">
        <v>38</v>
      </c>
      <c r="AJ181">
        <v>0</v>
      </c>
      <c r="AK181">
        <v>17</v>
      </c>
      <c r="AL181" t="s">
        <v>2645</v>
      </c>
      <c r="AM181" t="s">
        <v>2646</v>
      </c>
      <c r="AN181" t="s">
        <v>2647</v>
      </c>
      <c r="AO181" t="s">
        <v>2648</v>
      </c>
      <c r="AP181" t="s">
        <v>2649</v>
      </c>
      <c r="AQ181" t="s">
        <v>74</v>
      </c>
      <c r="AR181" t="s">
        <v>2650</v>
      </c>
      <c r="AS181" t="s">
        <v>2651</v>
      </c>
      <c r="AT181" t="s">
        <v>74</v>
      </c>
      <c r="AU181">
        <v>2006</v>
      </c>
      <c r="AV181">
        <v>306</v>
      </c>
      <c r="AW181" t="s">
        <v>74</v>
      </c>
      <c r="AX181" t="s">
        <v>74</v>
      </c>
      <c r="AY181" t="s">
        <v>74</v>
      </c>
      <c r="AZ181" t="s">
        <v>74</v>
      </c>
      <c r="BA181" t="s">
        <v>74</v>
      </c>
      <c r="BB181">
        <v>17</v>
      </c>
      <c r="BC181">
        <v>30</v>
      </c>
      <c r="BD181" t="s">
        <v>74</v>
      </c>
      <c r="BE181" t="s">
        <v>3128</v>
      </c>
      <c r="BF181" t="str">
        <f>HYPERLINK("http://dx.doi.org/10.3354/meps306017","http://dx.doi.org/10.3354/meps306017")</f>
        <v>http://dx.doi.org/10.3354/meps306017</v>
      </c>
      <c r="BG181" t="s">
        <v>74</v>
      </c>
      <c r="BH181" t="s">
        <v>74</v>
      </c>
      <c r="BI181">
        <v>14</v>
      </c>
      <c r="BJ181" t="s">
        <v>2653</v>
      </c>
      <c r="BK181" t="s">
        <v>98</v>
      </c>
      <c r="BL181" t="s">
        <v>2654</v>
      </c>
      <c r="BM181" t="s">
        <v>3120</v>
      </c>
      <c r="BN181" t="s">
        <v>74</v>
      </c>
      <c r="BO181" t="s">
        <v>1900</v>
      </c>
      <c r="BP181" t="s">
        <v>74</v>
      </c>
      <c r="BQ181" t="s">
        <v>74</v>
      </c>
      <c r="BR181" t="s">
        <v>101</v>
      </c>
      <c r="BS181" t="s">
        <v>3129</v>
      </c>
      <c r="BT181" t="str">
        <f>HYPERLINK("https%3A%2F%2Fwww.webofscience.com%2Fwos%2Fwoscc%2Ffull-record%2FWOS:000235518100002","View Full Record in Web of Science")</f>
        <v>View Full Record in Web of Science</v>
      </c>
    </row>
    <row r="182" spans="1:72" x14ac:dyDescent="0.15">
      <c r="A182" t="s">
        <v>72</v>
      </c>
      <c r="B182" t="s">
        <v>3130</v>
      </c>
      <c r="C182" t="s">
        <v>74</v>
      </c>
      <c r="D182" t="s">
        <v>74</v>
      </c>
      <c r="E182" t="s">
        <v>74</v>
      </c>
      <c r="F182" t="s">
        <v>3130</v>
      </c>
      <c r="G182" t="s">
        <v>74</v>
      </c>
      <c r="H182" t="s">
        <v>74</v>
      </c>
      <c r="I182" t="s">
        <v>3131</v>
      </c>
      <c r="J182" t="s">
        <v>2635</v>
      </c>
      <c r="K182" t="s">
        <v>74</v>
      </c>
      <c r="L182" t="s">
        <v>74</v>
      </c>
      <c r="M182" t="s">
        <v>77</v>
      </c>
      <c r="N182" t="s">
        <v>78</v>
      </c>
      <c r="O182" t="s">
        <v>74</v>
      </c>
      <c r="P182" t="s">
        <v>74</v>
      </c>
      <c r="Q182" t="s">
        <v>74</v>
      </c>
      <c r="R182" t="s">
        <v>74</v>
      </c>
      <c r="S182" t="s">
        <v>74</v>
      </c>
      <c r="T182" t="s">
        <v>3132</v>
      </c>
      <c r="U182" t="s">
        <v>3133</v>
      </c>
      <c r="V182" t="s">
        <v>3134</v>
      </c>
      <c r="W182" t="s">
        <v>3135</v>
      </c>
      <c r="X182" t="s">
        <v>3136</v>
      </c>
      <c r="Y182" t="s">
        <v>3137</v>
      </c>
      <c r="Z182" t="s">
        <v>3138</v>
      </c>
      <c r="AA182" t="s">
        <v>3139</v>
      </c>
      <c r="AB182" t="s">
        <v>3140</v>
      </c>
      <c r="AC182" t="s">
        <v>74</v>
      </c>
      <c r="AD182" t="s">
        <v>74</v>
      </c>
      <c r="AE182" t="s">
        <v>74</v>
      </c>
      <c r="AF182" t="s">
        <v>74</v>
      </c>
      <c r="AG182">
        <v>48</v>
      </c>
      <c r="AH182">
        <v>17</v>
      </c>
      <c r="AI182">
        <v>20</v>
      </c>
      <c r="AJ182">
        <v>1</v>
      </c>
      <c r="AK182">
        <v>18</v>
      </c>
      <c r="AL182" t="s">
        <v>2645</v>
      </c>
      <c r="AM182" t="s">
        <v>2646</v>
      </c>
      <c r="AN182" t="s">
        <v>2647</v>
      </c>
      <c r="AO182" t="s">
        <v>2648</v>
      </c>
      <c r="AP182" t="s">
        <v>2649</v>
      </c>
      <c r="AQ182" t="s">
        <v>74</v>
      </c>
      <c r="AR182" t="s">
        <v>2650</v>
      </c>
      <c r="AS182" t="s">
        <v>2651</v>
      </c>
      <c r="AT182" t="s">
        <v>74</v>
      </c>
      <c r="AU182">
        <v>2006</v>
      </c>
      <c r="AV182">
        <v>306</v>
      </c>
      <c r="AW182" t="s">
        <v>74</v>
      </c>
      <c r="AX182" t="s">
        <v>74</v>
      </c>
      <c r="AY182" t="s">
        <v>74</v>
      </c>
      <c r="AZ182" t="s">
        <v>74</v>
      </c>
      <c r="BA182" t="s">
        <v>74</v>
      </c>
      <c r="BB182">
        <v>31</v>
      </c>
      <c r="BC182">
        <v>40</v>
      </c>
      <c r="BD182" t="s">
        <v>74</v>
      </c>
      <c r="BE182" t="s">
        <v>3141</v>
      </c>
      <c r="BF182" t="str">
        <f>HYPERLINK("http://dx.doi.org/10.3354/meps306031","http://dx.doi.org/10.3354/meps306031")</f>
        <v>http://dx.doi.org/10.3354/meps306031</v>
      </c>
      <c r="BG182" t="s">
        <v>74</v>
      </c>
      <c r="BH182" t="s">
        <v>74</v>
      </c>
      <c r="BI182">
        <v>10</v>
      </c>
      <c r="BJ182" t="s">
        <v>2653</v>
      </c>
      <c r="BK182" t="s">
        <v>98</v>
      </c>
      <c r="BL182" t="s">
        <v>2654</v>
      </c>
      <c r="BM182" t="s">
        <v>3120</v>
      </c>
      <c r="BN182" t="s">
        <v>74</v>
      </c>
      <c r="BO182" t="s">
        <v>2248</v>
      </c>
      <c r="BP182" t="s">
        <v>74</v>
      </c>
      <c r="BQ182" t="s">
        <v>74</v>
      </c>
      <c r="BR182" t="s">
        <v>101</v>
      </c>
      <c r="BS182" t="s">
        <v>3142</v>
      </c>
      <c r="BT182" t="str">
        <f>HYPERLINK("https%3A%2F%2Fwww.webofscience.com%2Fwos%2Fwoscc%2Ffull-record%2FWOS:000235518100003","View Full Record in Web of Science")</f>
        <v>View Full Record in Web of Science</v>
      </c>
    </row>
    <row r="183" spans="1:72" x14ac:dyDescent="0.15">
      <c r="A183" t="s">
        <v>72</v>
      </c>
      <c r="B183" t="s">
        <v>3143</v>
      </c>
      <c r="C183" t="s">
        <v>74</v>
      </c>
      <c r="D183" t="s">
        <v>74</v>
      </c>
      <c r="E183" t="s">
        <v>74</v>
      </c>
      <c r="F183" t="s">
        <v>3144</v>
      </c>
      <c r="G183" t="s">
        <v>74</v>
      </c>
      <c r="H183" t="s">
        <v>74</v>
      </c>
      <c r="I183" t="s">
        <v>3145</v>
      </c>
      <c r="J183" t="s">
        <v>3146</v>
      </c>
      <c r="K183" t="s">
        <v>74</v>
      </c>
      <c r="L183" t="s">
        <v>74</v>
      </c>
      <c r="M183" t="s">
        <v>77</v>
      </c>
      <c r="N183" t="s">
        <v>52</v>
      </c>
      <c r="O183" t="s">
        <v>74</v>
      </c>
      <c r="P183" t="s">
        <v>74</v>
      </c>
      <c r="Q183" t="s">
        <v>74</v>
      </c>
      <c r="R183" t="s">
        <v>74</v>
      </c>
      <c r="S183" t="s">
        <v>74</v>
      </c>
      <c r="T183" t="s">
        <v>74</v>
      </c>
      <c r="U183" t="s">
        <v>74</v>
      </c>
      <c r="V183" t="s">
        <v>74</v>
      </c>
      <c r="W183" t="s">
        <v>3147</v>
      </c>
      <c r="X183" t="s">
        <v>3148</v>
      </c>
      <c r="Y183" t="s">
        <v>74</v>
      </c>
      <c r="Z183" t="s">
        <v>74</v>
      </c>
      <c r="AA183" t="s">
        <v>3149</v>
      </c>
      <c r="AB183" t="s">
        <v>3150</v>
      </c>
      <c r="AC183" t="s">
        <v>74</v>
      </c>
      <c r="AD183" t="s">
        <v>74</v>
      </c>
      <c r="AE183" t="s">
        <v>74</v>
      </c>
      <c r="AF183" t="s">
        <v>74</v>
      </c>
      <c r="AG183">
        <v>0</v>
      </c>
      <c r="AH183">
        <v>0</v>
      </c>
      <c r="AI183">
        <v>0</v>
      </c>
      <c r="AJ183">
        <v>0</v>
      </c>
      <c r="AK183">
        <v>1</v>
      </c>
      <c r="AL183" t="s">
        <v>139</v>
      </c>
      <c r="AM183" t="s">
        <v>140</v>
      </c>
      <c r="AN183" t="s">
        <v>141</v>
      </c>
      <c r="AO183" t="s">
        <v>3151</v>
      </c>
      <c r="AP183" t="s">
        <v>74</v>
      </c>
      <c r="AQ183" t="s">
        <v>74</v>
      </c>
      <c r="AR183" t="s">
        <v>3152</v>
      </c>
      <c r="AS183" t="s">
        <v>3153</v>
      </c>
      <c r="AT183" t="s">
        <v>74</v>
      </c>
      <c r="AU183">
        <v>2006</v>
      </c>
      <c r="AV183">
        <v>62</v>
      </c>
      <c r="AW183" t="s">
        <v>74</v>
      </c>
      <c r="AX183" t="s">
        <v>74</v>
      </c>
      <c r="AY183" t="s">
        <v>577</v>
      </c>
      <c r="AZ183" t="s">
        <v>74</v>
      </c>
      <c r="BA183" t="s">
        <v>74</v>
      </c>
      <c r="BB183" t="s">
        <v>3154</v>
      </c>
      <c r="BC183" t="s">
        <v>3155</v>
      </c>
      <c r="BD183" t="s">
        <v>74</v>
      </c>
      <c r="BE183" t="s">
        <v>74</v>
      </c>
      <c r="BF183" t="s">
        <v>74</v>
      </c>
      <c r="BG183" t="s">
        <v>74</v>
      </c>
      <c r="BH183" t="s">
        <v>74</v>
      </c>
      <c r="BI183">
        <v>2</v>
      </c>
      <c r="BJ183" t="s">
        <v>3156</v>
      </c>
      <c r="BK183" t="s">
        <v>98</v>
      </c>
      <c r="BL183" t="s">
        <v>3157</v>
      </c>
      <c r="BM183" t="s">
        <v>3158</v>
      </c>
      <c r="BN183" t="s">
        <v>74</v>
      </c>
      <c r="BO183" t="s">
        <v>74</v>
      </c>
      <c r="BP183" t="s">
        <v>74</v>
      </c>
      <c r="BQ183" t="s">
        <v>74</v>
      </c>
      <c r="BR183" t="s">
        <v>101</v>
      </c>
      <c r="BS183" t="s">
        <v>3159</v>
      </c>
      <c r="BT183" t="str">
        <f>HYPERLINK("https%3A%2F%2Fwww.webofscience.com%2Fwos%2Fwoscc%2Ffull-record%2FWOS:000238957800303","View Full Record in Web of Science")</f>
        <v>View Full Record in Web of Science</v>
      </c>
    </row>
    <row r="184" spans="1:72" x14ac:dyDescent="0.15">
      <c r="A184" t="s">
        <v>72</v>
      </c>
      <c r="B184" t="s">
        <v>3160</v>
      </c>
      <c r="C184" t="s">
        <v>74</v>
      </c>
      <c r="D184" t="s">
        <v>74</v>
      </c>
      <c r="E184" t="s">
        <v>74</v>
      </c>
      <c r="F184" t="s">
        <v>3161</v>
      </c>
      <c r="G184" t="s">
        <v>74</v>
      </c>
      <c r="H184" t="s">
        <v>74</v>
      </c>
      <c r="I184" t="s">
        <v>3162</v>
      </c>
      <c r="J184" t="s">
        <v>3146</v>
      </c>
      <c r="K184" t="s">
        <v>74</v>
      </c>
      <c r="L184" t="s">
        <v>74</v>
      </c>
      <c r="M184" t="s">
        <v>77</v>
      </c>
      <c r="N184" t="s">
        <v>52</v>
      </c>
      <c r="O184" t="s">
        <v>74</v>
      </c>
      <c r="P184" t="s">
        <v>74</v>
      </c>
      <c r="Q184" t="s">
        <v>74</v>
      </c>
      <c r="R184" t="s">
        <v>74</v>
      </c>
      <c r="S184" t="s">
        <v>74</v>
      </c>
      <c r="T184" t="s">
        <v>74</v>
      </c>
      <c r="U184" t="s">
        <v>74</v>
      </c>
      <c r="V184" t="s">
        <v>74</v>
      </c>
      <c r="W184" t="s">
        <v>3147</v>
      </c>
      <c r="X184" t="s">
        <v>3148</v>
      </c>
      <c r="Y184" t="s">
        <v>74</v>
      </c>
      <c r="Z184" t="s">
        <v>74</v>
      </c>
      <c r="AA184" t="s">
        <v>3163</v>
      </c>
      <c r="AB184" t="s">
        <v>3164</v>
      </c>
      <c r="AC184" t="s">
        <v>74</v>
      </c>
      <c r="AD184" t="s">
        <v>74</v>
      </c>
      <c r="AE184" t="s">
        <v>74</v>
      </c>
      <c r="AF184" t="s">
        <v>74</v>
      </c>
      <c r="AG184">
        <v>0</v>
      </c>
      <c r="AH184">
        <v>0</v>
      </c>
      <c r="AI184">
        <v>0</v>
      </c>
      <c r="AJ184">
        <v>0</v>
      </c>
      <c r="AK184">
        <v>2</v>
      </c>
      <c r="AL184" t="s">
        <v>139</v>
      </c>
      <c r="AM184" t="s">
        <v>140</v>
      </c>
      <c r="AN184" t="s">
        <v>141</v>
      </c>
      <c r="AO184" t="s">
        <v>3151</v>
      </c>
      <c r="AP184" t="s">
        <v>74</v>
      </c>
      <c r="AQ184" t="s">
        <v>74</v>
      </c>
      <c r="AR184" t="s">
        <v>3152</v>
      </c>
      <c r="AS184" t="s">
        <v>3153</v>
      </c>
      <c r="AT184" t="s">
        <v>74</v>
      </c>
      <c r="AU184">
        <v>2006</v>
      </c>
      <c r="AV184">
        <v>62</v>
      </c>
      <c r="AW184" t="s">
        <v>74</v>
      </c>
      <c r="AX184" t="s">
        <v>74</v>
      </c>
      <c r="AY184" t="s">
        <v>577</v>
      </c>
      <c r="AZ184" t="s">
        <v>74</v>
      </c>
      <c r="BA184" t="s">
        <v>74</v>
      </c>
      <c r="BB184" t="s">
        <v>3165</v>
      </c>
      <c r="BC184" t="s">
        <v>3166</v>
      </c>
      <c r="BD184" t="s">
        <v>74</v>
      </c>
      <c r="BE184" t="s">
        <v>74</v>
      </c>
      <c r="BF184" t="s">
        <v>74</v>
      </c>
      <c r="BG184" t="s">
        <v>74</v>
      </c>
      <c r="BH184" t="s">
        <v>74</v>
      </c>
      <c r="BI184">
        <v>2</v>
      </c>
      <c r="BJ184" t="s">
        <v>3156</v>
      </c>
      <c r="BK184" t="s">
        <v>98</v>
      </c>
      <c r="BL184" t="s">
        <v>3157</v>
      </c>
      <c r="BM184" t="s">
        <v>3158</v>
      </c>
      <c r="BN184" t="s">
        <v>74</v>
      </c>
      <c r="BO184" t="s">
        <v>74</v>
      </c>
      <c r="BP184" t="s">
        <v>74</v>
      </c>
      <c r="BQ184" t="s">
        <v>74</v>
      </c>
      <c r="BR184" t="s">
        <v>101</v>
      </c>
      <c r="BS184" t="s">
        <v>3167</v>
      </c>
      <c r="BT184" t="str">
        <f>HYPERLINK("https%3A%2F%2Fwww.webofscience.com%2Fwos%2Fwoscc%2Ffull-record%2FWOS:000238957800298","View Full Record in Web of Science")</f>
        <v>View Full Record in Web of Science</v>
      </c>
    </row>
    <row r="185" spans="1:72" x14ac:dyDescent="0.15">
      <c r="A185" t="s">
        <v>72</v>
      </c>
      <c r="B185" t="s">
        <v>3168</v>
      </c>
      <c r="C185" t="s">
        <v>74</v>
      </c>
      <c r="D185" t="s">
        <v>74</v>
      </c>
      <c r="E185" t="s">
        <v>74</v>
      </c>
      <c r="F185" t="s">
        <v>3169</v>
      </c>
      <c r="G185" t="s">
        <v>74</v>
      </c>
      <c r="H185" t="s">
        <v>74</v>
      </c>
      <c r="I185" t="s">
        <v>3170</v>
      </c>
      <c r="J185" t="s">
        <v>3171</v>
      </c>
      <c r="K185" t="s">
        <v>74</v>
      </c>
      <c r="L185" t="s">
        <v>74</v>
      </c>
      <c r="M185" t="s">
        <v>77</v>
      </c>
      <c r="N185" t="s">
        <v>78</v>
      </c>
      <c r="O185" t="s">
        <v>74</v>
      </c>
      <c r="P185" t="s">
        <v>74</v>
      </c>
      <c r="Q185" t="s">
        <v>74</v>
      </c>
      <c r="R185" t="s">
        <v>74</v>
      </c>
      <c r="S185" t="s">
        <v>74</v>
      </c>
      <c r="T185" t="s">
        <v>3172</v>
      </c>
      <c r="U185" t="s">
        <v>3173</v>
      </c>
      <c r="V185" t="s">
        <v>3174</v>
      </c>
      <c r="W185" t="s">
        <v>3175</v>
      </c>
      <c r="X185" t="s">
        <v>3176</v>
      </c>
      <c r="Y185" t="s">
        <v>3177</v>
      </c>
      <c r="Z185" t="s">
        <v>3178</v>
      </c>
      <c r="AA185" t="s">
        <v>74</v>
      </c>
      <c r="AB185" t="s">
        <v>74</v>
      </c>
      <c r="AC185" t="s">
        <v>74</v>
      </c>
      <c r="AD185" t="s">
        <v>74</v>
      </c>
      <c r="AE185" t="s">
        <v>74</v>
      </c>
      <c r="AF185" t="s">
        <v>74</v>
      </c>
      <c r="AG185">
        <v>37</v>
      </c>
      <c r="AH185">
        <v>6</v>
      </c>
      <c r="AI185">
        <v>6</v>
      </c>
      <c r="AJ185">
        <v>0</v>
      </c>
      <c r="AK185">
        <v>2</v>
      </c>
      <c r="AL185" t="s">
        <v>88</v>
      </c>
      <c r="AM185" t="s">
        <v>162</v>
      </c>
      <c r="AN185" t="s">
        <v>163</v>
      </c>
      <c r="AO185" t="s">
        <v>3179</v>
      </c>
      <c r="AP185" t="s">
        <v>3180</v>
      </c>
      <c r="AQ185" t="s">
        <v>74</v>
      </c>
      <c r="AR185" t="s">
        <v>3181</v>
      </c>
      <c r="AS185" t="s">
        <v>3182</v>
      </c>
      <c r="AT185" t="s">
        <v>74</v>
      </c>
      <c r="AU185">
        <v>2006</v>
      </c>
      <c r="AV185">
        <v>27</v>
      </c>
      <c r="AW185">
        <v>4</v>
      </c>
      <c r="AX185" t="s">
        <v>74</v>
      </c>
      <c r="AY185" t="s">
        <v>74</v>
      </c>
      <c r="AZ185" t="s">
        <v>74</v>
      </c>
      <c r="BA185" t="s">
        <v>74</v>
      </c>
      <c r="BB185">
        <v>283</v>
      </c>
      <c r="BC185">
        <v>288</v>
      </c>
      <c r="BD185" t="s">
        <v>74</v>
      </c>
      <c r="BE185" t="s">
        <v>3183</v>
      </c>
      <c r="BF185" t="str">
        <f>HYPERLINK("http://dx.doi.org/10.1007/s11001-006-9008-z","http://dx.doi.org/10.1007/s11001-006-9008-z")</f>
        <v>http://dx.doi.org/10.1007/s11001-006-9008-z</v>
      </c>
      <c r="BG185" t="s">
        <v>74</v>
      </c>
      <c r="BH185" t="s">
        <v>74</v>
      </c>
      <c r="BI185">
        <v>6</v>
      </c>
      <c r="BJ185" t="s">
        <v>3184</v>
      </c>
      <c r="BK185" t="s">
        <v>98</v>
      </c>
      <c r="BL185" t="s">
        <v>3184</v>
      </c>
      <c r="BM185" t="s">
        <v>3185</v>
      </c>
      <c r="BN185" t="s">
        <v>74</v>
      </c>
      <c r="BO185" t="s">
        <v>74</v>
      </c>
      <c r="BP185" t="s">
        <v>74</v>
      </c>
      <c r="BQ185" t="s">
        <v>74</v>
      </c>
      <c r="BR185" t="s">
        <v>101</v>
      </c>
      <c r="BS185" t="s">
        <v>3186</v>
      </c>
      <c r="BT185" t="str">
        <f>HYPERLINK("https%3A%2F%2Fwww.webofscience.com%2Fwos%2Fwoscc%2Ffull-record%2FWOS:000242998600005","View Full Record in Web of Science")</f>
        <v>View Full Record in Web of Science</v>
      </c>
    </row>
    <row r="186" spans="1:72" x14ac:dyDescent="0.15">
      <c r="A186" t="s">
        <v>72</v>
      </c>
      <c r="B186" t="s">
        <v>3187</v>
      </c>
      <c r="C186" t="s">
        <v>74</v>
      </c>
      <c r="D186" t="s">
        <v>74</v>
      </c>
      <c r="E186" t="s">
        <v>74</v>
      </c>
      <c r="F186" t="s">
        <v>3187</v>
      </c>
      <c r="G186" t="s">
        <v>74</v>
      </c>
      <c r="H186" t="s">
        <v>74</v>
      </c>
      <c r="I186" t="s">
        <v>3188</v>
      </c>
      <c r="J186" t="s">
        <v>3189</v>
      </c>
      <c r="K186" t="s">
        <v>74</v>
      </c>
      <c r="L186" t="s">
        <v>74</v>
      </c>
      <c r="M186" t="s">
        <v>77</v>
      </c>
      <c r="N186" t="s">
        <v>78</v>
      </c>
      <c r="O186" t="s">
        <v>74</v>
      </c>
      <c r="P186" t="s">
        <v>74</v>
      </c>
      <c r="Q186" t="s">
        <v>74</v>
      </c>
      <c r="R186" t="s">
        <v>74</v>
      </c>
      <c r="S186" t="s">
        <v>74</v>
      </c>
      <c r="T186" t="s">
        <v>3190</v>
      </c>
      <c r="U186" t="s">
        <v>3191</v>
      </c>
      <c r="V186" t="s">
        <v>3192</v>
      </c>
      <c r="W186" t="s">
        <v>3193</v>
      </c>
      <c r="X186" t="s">
        <v>3194</v>
      </c>
      <c r="Y186" t="s">
        <v>3195</v>
      </c>
      <c r="Z186" t="s">
        <v>3196</v>
      </c>
      <c r="AA186" t="s">
        <v>3197</v>
      </c>
      <c r="AB186" t="s">
        <v>3198</v>
      </c>
      <c r="AC186" t="s">
        <v>74</v>
      </c>
      <c r="AD186" t="s">
        <v>74</v>
      </c>
      <c r="AE186" t="s">
        <v>74</v>
      </c>
      <c r="AF186" t="s">
        <v>74</v>
      </c>
      <c r="AG186">
        <v>10</v>
      </c>
      <c r="AH186">
        <v>13</v>
      </c>
      <c r="AI186">
        <v>16</v>
      </c>
      <c r="AJ186">
        <v>0</v>
      </c>
      <c r="AK186">
        <v>14</v>
      </c>
      <c r="AL186" t="s">
        <v>3199</v>
      </c>
      <c r="AM186" t="s">
        <v>2517</v>
      </c>
      <c r="AN186" t="s">
        <v>3200</v>
      </c>
      <c r="AO186" t="s">
        <v>3201</v>
      </c>
      <c r="AP186" t="s">
        <v>74</v>
      </c>
      <c r="AQ186" t="s">
        <v>74</v>
      </c>
      <c r="AR186" t="s">
        <v>3202</v>
      </c>
      <c r="AS186" t="s">
        <v>3203</v>
      </c>
      <c r="AT186" t="s">
        <v>95</v>
      </c>
      <c r="AU186">
        <v>2006</v>
      </c>
      <c r="AV186">
        <v>22</v>
      </c>
      <c r="AW186">
        <v>1</v>
      </c>
      <c r="AX186" t="s">
        <v>74</v>
      </c>
      <c r="AY186" t="s">
        <v>74</v>
      </c>
      <c r="AZ186" t="s">
        <v>74</v>
      </c>
      <c r="BA186" t="s">
        <v>74</v>
      </c>
      <c r="BB186">
        <v>17</v>
      </c>
      <c r="BC186">
        <v>24</v>
      </c>
      <c r="BD186" t="s">
        <v>74</v>
      </c>
      <c r="BE186" t="s">
        <v>3204</v>
      </c>
      <c r="BF186" t="str">
        <f>HYPERLINK("http://dx.doi.org/10.1111/j.1748-7692.2006.00002.x","http://dx.doi.org/10.1111/j.1748-7692.2006.00002.x")</f>
        <v>http://dx.doi.org/10.1111/j.1748-7692.2006.00002.x</v>
      </c>
      <c r="BG186" t="s">
        <v>74</v>
      </c>
      <c r="BH186" t="s">
        <v>74</v>
      </c>
      <c r="BI186">
        <v>8</v>
      </c>
      <c r="BJ186" t="s">
        <v>3205</v>
      </c>
      <c r="BK186" t="s">
        <v>98</v>
      </c>
      <c r="BL186" t="s">
        <v>3205</v>
      </c>
      <c r="BM186" t="s">
        <v>3206</v>
      </c>
      <c r="BN186" t="s">
        <v>74</v>
      </c>
      <c r="BO186" t="s">
        <v>74</v>
      </c>
      <c r="BP186" t="s">
        <v>74</v>
      </c>
      <c r="BQ186" t="s">
        <v>74</v>
      </c>
      <c r="BR186" t="s">
        <v>101</v>
      </c>
      <c r="BS186" t="s">
        <v>3207</v>
      </c>
      <c r="BT186" t="str">
        <f>HYPERLINK("https%3A%2F%2Fwww.webofscience.com%2Fwos%2Fwoscc%2Ffull-record%2FWOS:000234942300002","View Full Record in Web of Science")</f>
        <v>View Full Record in Web of Science</v>
      </c>
    </row>
    <row r="187" spans="1:72" x14ac:dyDescent="0.15">
      <c r="A187" t="s">
        <v>72</v>
      </c>
      <c r="B187" t="s">
        <v>3208</v>
      </c>
      <c r="C187" t="s">
        <v>74</v>
      </c>
      <c r="D187" t="s">
        <v>74</v>
      </c>
      <c r="E187" t="s">
        <v>74</v>
      </c>
      <c r="F187" t="s">
        <v>3208</v>
      </c>
      <c r="G187" t="s">
        <v>74</v>
      </c>
      <c r="H187" t="s">
        <v>74</v>
      </c>
      <c r="I187" t="s">
        <v>3209</v>
      </c>
      <c r="J187" t="s">
        <v>3189</v>
      </c>
      <c r="K187" t="s">
        <v>74</v>
      </c>
      <c r="L187" t="s">
        <v>74</v>
      </c>
      <c r="M187" t="s">
        <v>77</v>
      </c>
      <c r="N187" t="s">
        <v>78</v>
      </c>
      <c r="O187" t="s">
        <v>74</v>
      </c>
      <c r="P187" t="s">
        <v>74</v>
      </c>
      <c r="Q187" t="s">
        <v>74</v>
      </c>
      <c r="R187" t="s">
        <v>74</v>
      </c>
      <c r="S187" t="s">
        <v>74</v>
      </c>
      <c r="T187" t="s">
        <v>3210</v>
      </c>
      <c r="U187" t="s">
        <v>74</v>
      </c>
      <c r="V187" t="s">
        <v>3211</v>
      </c>
      <c r="W187" t="s">
        <v>3212</v>
      </c>
      <c r="X187" t="s">
        <v>3213</v>
      </c>
      <c r="Y187" t="s">
        <v>3195</v>
      </c>
      <c r="Z187" t="s">
        <v>3196</v>
      </c>
      <c r="AA187" t="s">
        <v>3197</v>
      </c>
      <c r="AB187" t="s">
        <v>3198</v>
      </c>
      <c r="AC187" t="s">
        <v>74</v>
      </c>
      <c r="AD187" t="s">
        <v>74</v>
      </c>
      <c r="AE187" t="s">
        <v>74</v>
      </c>
      <c r="AF187" t="s">
        <v>74</v>
      </c>
      <c r="AG187">
        <v>16</v>
      </c>
      <c r="AH187">
        <v>56</v>
      </c>
      <c r="AI187">
        <v>64</v>
      </c>
      <c r="AJ187">
        <v>3</v>
      </c>
      <c r="AK187">
        <v>58</v>
      </c>
      <c r="AL187" t="s">
        <v>3199</v>
      </c>
      <c r="AM187" t="s">
        <v>2517</v>
      </c>
      <c r="AN187" t="s">
        <v>3200</v>
      </c>
      <c r="AO187" t="s">
        <v>3201</v>
      </c>
      <c r="AP187" t="s">
        <v>74</v>
      </c>
      <c r="AQ187" t="s">
        <v>74</v>
      </c>
      <c r="AR187" t="s">
        <v>3202</v>
      </c>
      <c r="AS187" t="s">
        <v>3203</v>
      </c>
      <c r="AT187" t="s">
        <v>95</v>
      </c>
      <c r="AU187">
        <v>2006</v>
      </c>
      <c r="AV187">
        <v>22</v>
      </c>
      <c r="AW187">
        <v>1</v>
      </c>
      <c r="AX187" t="s">
        <v>74</v>
      </c>
      <c r="AY187" t="s">
        <v>74</v>
      </c>
      <c r="AZ187" t="s">
        <v>74</v>
      </c>
      <c r="BA187" t="s">
        <v>74</v>
      </c>
      <c r="BB187">
        <v>25</v>
      </c>
      <c r="BC187">
        <v>33</v>
      </c>
      <c r="BD187" t="s">
        <v>74</v>
      </c>
      <c r="BE187" t="s">
        <v>3214</v>
      </c>
      <c r="BF187" t="str">
        <f>HYPERLINK("http://dx.doi.org/10.1111/j.1748-7692.2006.00003.x","http://dx.doi.org/10.1111/j.1748-7692.2006.00003.x")</f>
        <v>http://dx.doi.org/10.1111/j.1748-7692.2006.00003.x</v>
      </c>
      <c r="BG187" t="s">
        <v>74</v>
      </c>
      <c r="BH187" t="s">
        <v>74</v>
      </c>
      <c r="BI187">
        <v>9</v>
      </c>
      <c r="BJ187" t="s">
        <v>3205</v>
      </c>
      <c r="BK187" t="s">
        <v>98</v>
      </c>
      <c r="BL187" t="s">
        <v>3205</v>
      </c>
      <c r="BM187" t="s">
        <v>3206</v>
      </c>
      <c r="BN187" t="s">
        <v>74</v>
      </c>
      <c r="BO187" t="s">
        <v>74</v>
      </c>
      <c r="BP187" t="s">
        <v>74</v>
      </c>
      <c r="BQ187" t="s">
        <v>74</v>
      </c>
      <c r="BR187" t="s">
        <v>101</v>
      </c>
      <c r="BS187" t="s">
        <v>3215</v>
      </c>
      <c r="BT187" t="str">
        <f>HYPERLINK("https%3A%2F%2Fwww.webofscience.com%2Fwos%2Fwoscc%2Ffull-record%2FWOS:000234942300003","View Full Record in Web of Science")</f>
        <v>View Full Record in Web of Science</v>
      </c>
    </row>
    <row r="188" spans="1:72" x14ac:dyDescent="0.15">
      <c r="A188" t="s">
        <v>297</v>
      </c>
      <c r="B188" t="s">
        <v>3216</v>
      </c>
      <c r="C188" t="s">
        <v>74</v>
      </c>
      <c r="D188" t="s">
        <v>3217</v>
      </c>
      <c r="E188" t="s">
        <v>74</v>
      </c>
      <c r="F188" t="s">
        <v>3218</v>
      </c>
      <c r="G188" t="s">
        <v>74</v>
      </c>
      <c r="H188" t="s">
        <v>74</v>
      </c>
      <c r="I188" t="s">
        <v>3219</v>
      </c>
      <c r="J188" t="s">
        <v>3220</v>
      </c>
      <c r="K188" t="s">
        <v>1419</v>
      </c>
      <c r="L188" t="s">
        <v>74</v>
      </c>
      <c r="M188" t="s">
        <v>77</v>
      </c>
      <c r="N188" t="s">
        <v>304</v>
      </c>
      <c r="O188" t="s">
        <v>1420</v>
      </c>
      <c r="P188" t="s">
        <v>1421</v>
      </c>
      <c r="Q188" t="s">
        <v>1422</v>
      </c>
      <c r="R188" t="s">
        <v>74</v>
      </c>
      <c r="S188" t="s">
        <v>74</v>
      </c>
      <c r="T188" t="s">
        <v>3221</v>
      </c>
      <c r="U188" t="s">
        <v>3222</v>
      </c>
      <c r="V188" t="s">
        <v>3223</v>
      </c>
      <c r="W188" t="s">
        <v>3224</v>
      </c>
      <c r="X188" t="s">
        <v>1783</v>
      </c>
      <c r="Y188" t="s">
        <v>3225</v>
      </c>
      <c r="Z188" t="s">
        <v>3226</v>
      </c>
      <c r="AA188" t="s">
        <v>74</v>
      </c>
      <c r="AB188" t="s">
        <v>74</v>
      </c>
      <c r="AC188" t="s">
        <v>74</v>
      </c>
      <c r="AD188" t="s">
        <v>74</v>
      </c>
      <c r="AE188" t="s">
        <v>74</v>
      </c>
      <c r="AF188" t="s">
        <v>74</v>
      </c>
      <c r="AG188">
        <v>10</v>
      </c>
      <c r="AH188">
        <v>0</v>
      </c>
      <c r="AI188">
        <v>0</v>
      </c>
      <c r="AJ188">
        <v>0</v>
      </c>
      <c r="AK188">
        <v>3</v>
      </c>
      <c r="AL188" t="s">
        <v>1434</v>
      </c>
      <c r="AM188" t="s">
        <v>140</v>
      </c>
      <c r="AN188" t="s">
        <v>1435</v>
      </c>
      <c r="AO188" t="s">
        <v>1436</v>
      </c>
      <c r="AP188" t="s">
        <v>74</v>
      </c>
      <c r="AQ188" t="s">
        <v>74</v>
      </c>
      <c r="AR188" t="s">
        <v>1437</v>
      </c>
      <c r="AS188" t="s">
        <v>74</v>
      </c>
      <c r="AT188" t="s">
        <v>74</v>
      </c>
      <c r="AU188">
        <v>2006</v>
      </c>
      <c r="AV188">
        <v>38</v>
      </c>
      <c r="AW188">
        <v>4</v>
      </c>
      <c r="AX188" t="s">
        <v>74</v>
      </c>
      <c r="AY188" t="s">
        <v>74</v>
      </c>
      <c r="AZ188" t="s">
        <v>74</v>
      </c>
      <c r="BA188" t="s">
        <v>74</v>
      </c>
      <c r="BB188">
        <v>696</v>
      </c>
      <c r="BC188" t="s">
        <v>1059</v>
      </c>
      <c r="BD188" t="s">
        <v>74</v>
      </c>
      <c r="BE188" t="s">
        <v>3227</v>
      </c>
      <c r="BF188" t="str">
        <f>HYPERLINK("http://dx.doi.org/10.1016/j.asr.2005.07.070","http://dx.doi.org/10.1016/j.asr.2005.07.070")</f>
        <v>http://dx.doi.org/10.1016/j.asr.2005.07.070</v>
      </c>
      <c r="BG188" t="s">
        <v>74</v>
      </c>
      <c r="BH188" t="s">
        <v>74</v>
      </c>
      <c r="BI188">
        <v>2</v>
      </c>
      <c r="BJ188" t="s">
        <v>1439</v>
      </c>
      <c r="BK188" t="s">
        <v>328</v>
      </c>
      <c r="BL188" t="s">
        <v>1440</v>
      </c>
      <c r="BM188" t="s">
        <v>3228</v>
      </c>
      <c r="BN188" t="s">
        <v>74</v>
      </c>
      <c r="BO188" t="s">
        <v>74</v>
      </c>
      <c r="BP188" t="s">
        <v>74</v>
      </c>
      <c r="BQ188" t="s">
        <v>74</v>
      </c>
      <c r="BR188" t="s">
        <v>101</v>
      </c>
      <c r="BS188" t="s">
        <v>3229</v>
      </c>
      <c r="BT188" t="str">
        <f>HYPERLINK("https%3A%2F%2Fwww.webofscience.com%2Fwos%2Fwoscc%2Ffull-record%2FWOS:000245033700020","View Full Record in Web of Science")</f>
        <v>View Full Record in Web of Science</v>
      </c>
    </row>
    <row r="189" spans="1:72" x14ac:dyDescent="0.15">
      <c r="A189" t="s">
        <v>72</v>
      </c>
      <c r="B189" t="s">
        <v>3230</v>
      </c>
      <c r="C189" t="s">
        <v>74</v>
      </c>
      <c r="D189" t="s">
        <v>74</v>
      </c>
      <c r="E189" t="s">
        <v>74</v>
      </c>
      <c r="F189" t="s">
        <v>3230</v>
      </c>
      <c r="G189" t="s">
        <v>74</v>
      </c>
      <c r="H189" t="s">
        <v>74</v>
      </c>
      <c r="I189" t="s">
        <v>3231</v>
      </c>
      <c r="J189" t="s">
        <v>3232</v>
      </c>
      <c r="K189" t="s">
        <v>74</v>
      </c>
      <c r="L189" t="s">
        <v>74</v>
      </c>
      <c r="M189" t="s">
        <v>77</v>
      </c>
      <c r="N189" t="s">
        <v>78</v>
      </c>
      <c r="O189" t="s">
        <v>74</v>
      </c>
      <c r="P189" t="s">
        <v>74</v>
      </c>
      <c r="Q189" t="s">
        <v>74</v>
      </c>
      <c r="R189" t="s">
        <v>74</v>
      </c>
      <c r="S189" t="s">
        <v>74</v>
      </c>
      <c r="T189" t="s">
        <v>74</v>
      </c>
      <c r="U189" t="s">
        <v>3233</v>
      </c>
      <c r="V189" t="s">
        <v>3234</v>
      </c>
      <c r="W189" t="s">
        <v>3235</v>
      </c>
      <c r="X189" t="s">
        <v>3236</v>
      </c>
      <c r="Y189" t="s">
        <v>3237</v>
      </c>
      <c r="Z189" t="s">
        <v>3238</v>
      </c>
      <c r="AA189" t="s">
        <v>74</v>
      </c>
      <c r="AB189" t="s">
        <v>74</v>
      </c>
      <c r="AC189" t="s">
        <v>74</v>
      </c>
      <c r="AD189" t="s">
        <v>74</v>
      </c>
      <c r="AE189" t="s">
        <v>74</v>
      </c>
      <c r="AF189" t="s">
        <v>74</v>
      </c>
      <c r="AG189">
        <v>68</v>
      </c>
      <c r="AH189">
        <v>45</v>
      </c>
      <c r="AI189">
        <v>50</v>
      </c>
      <c r="AJ189">
        <v>0</v>
      </c>
      <c r="AK189">
        <v>8</v>
      </c>
      <c r="AL189" t="s">
        <v>3239</v>
      </c>
      <c r="AM189" t="s">
        <v>3240</v>
      </c>
      <c r="AN189" t="s">
        <v>3241</v>
      </c>
      <c r="AO189" t="s">
        <v>3242</v>
      </c>
      <c r="AP189" t="s">
        <v>74</v>
      </c>
      <c r="AQ189" t="s">
        <v>74</v>
      </c>
      <c r="AR189" t="s">
        <v>3243</v>
      </c>
      <c r="AS189" t="s">
        <v>3244</v>
      </c>
      <c r="AT189" t="s">
        <v>95</v>
      </c>
      <c r="AU189">
        <v>2006</v>
      </c>
      <c r="AV189">
        <v>41</v>
      </c>
      <c r="AW189">
        <v>1</v>
      </c>
      <c r="AX189" t="s">
        <v>74</v>
      </c>
      <c r="AY189" t="s">
        <v>74</v>
      </c>
      <c r="AZ189" t="s">
        <v>74</v>
      </c>
      <c r="BA189" t="s">
        <v>74</v>
      </c>
      <c r="BB189">
        <v>125</v>
      </c>
      <c r="BC189">
        <v>133</v>
      </c>
      <c r="BD189" t="s">
        <v>74</v>
      </c>
      <c r="BE189" t="s">
        <v>3245</v>
      </c>
      <c r="BF189" t="str">
        <f>HYPERLINK("http://dx.doi.org/10.1111/j.1945-5100.2006.tb00197.x","http://dx.doi.org/10.1111/j.1945-5100.2006.tb00197.x")</f>
        <v>http://dx.doi.org/10.1111/j.1945-5100.2006.tb00197.x</v>
      </c>
      <c r="BG189" t="s">
        <v>74</v>
      </c>
      <c r="BH189" t="s">
        <v>74</v>
      </c>
      <c r="BI189">
        <v>9</v>
      </c>
      <c r="BJ189" t="s">
        <v>1348</v>
      </c>
      <c r="BK189" t="s">
        <v>98</v>
      </c>
      <c r="BL189" t="s">
        <v>1348</v>
      </c>
      <c r="BM189" t="s">
        <v>3246</v>
      </c>
      <c r="BN189" t="s">
        <v>74</v>
      </c>
      <c r="BO189" t="s">
        <v>1900</v>
      </c>
      <c r="BP189" t="s">
        <v>74</v>
      </c>
      <c r="BQ189" t="s">
        <v>74</v>
      </c>
      <c r="BR189" t="s">
        <v>101</v>
      </c>
      <c r="BS189" t="s">
        <v>3247</v>
      </c>
      <c r="BT189" t="str">
        <f>HYPERLINK("https%3A%2F%2Fwww.webofscience.com%2Fwos%2Fwoscc%2Ffull-record%2FWOS:000235919400010","View Full Record in Web of Science")</f>
        <v>View Full Record in Web of Science</v>
      </c>
    </row>
    <row r="190" spans="1:72" x14ac:dyDescent="0.15">
      <c r="A190" t="s">
        <v>72</v>
      </c>
      <c r="B190" t="s">
        <v>3248</v>
      </c>
      <c r="C190" t="s">
        <v>74</v>
      </c>
      <c r="D190" t="s">
        <v>74</v>
      </c>
      <c r="E190" t="s">
        <v>74</v>
      </c>
      <c r="F190" t="s">
        <v>3249</v>
      </c>
      <c r="G190" t="s">
        <v>74</v>
      </c>
      <c r="H190" t="s">
        <v>74</v>
      </c>
      <c r="I190" t="s">
        <v>3250</v>
      </c>
      <c r="J190" t="s">
        <v>3251</v>
      </c>
      <c r="K190" t="s">
        <v>74</v>
      </c>
      <c r="L190" t="s">
        <v>74</v>
      </c>
      <c r="M190" t="s">
        <v>77</v>
      </c>
      <c r="N190" t="s">
        <v>335</v>
      </c>
      <c r="O190" t="s">
        <v>3252</v>
      </c>
      <c r="P190" t="s">
        <v>3253</v>
      </c>
      <c r="Q190" t="s">
        <v>3254</v>
      </c>
      <c r="R190" t="s">
        <v>74</v>
      </c>
      <c r="S190" t="s">
        <v>74</v>
      </c>
      <c r="T190" t="s">
        <v>74</v>
      </c>
      <c r="U190" t="s">
        <v>3255</v>
      </c>
      <c r="V190" t="s">
        <v>3256</v>
      </c>
      <c r="W190" t="s">
        <v>3257</v>
      </c>
      <c r="X190" t="s">
        <v>3258</v>
      </c>
      <c r="Y190" t="s">
        <v>3259</v>
      </c>
      <c r="Z190" t="s">
        <v>3260</v>
      </c>
      <c r="AA190" t="s">
        <v>3261</v>
      </c>
      <c r="AB190" t="s">
        <v>74</v>
      </c>
      <c r="AC190" t="s">
        <v>3262</v>
      </c>
      <c r="AD190" t="s">
        <v>735</v>
      </c>
      <c r="AE190" t="s">
        <v>74</v>
      </c>
      <c r="AF190" t="s">
        <v>74</v>
      </c>
      <c r="AG190">
        <v>21</v>
      </c>
      <c r="AH190">
        <v>31</v>
      </c>
      <c r="AI190">
        <v>32</v>
      </c>
      <c r="AJ190">
        <v>0</v>
      </c>
      <c r="AK190">
        <v>8</v>
      </c>
      <c r="AL190" t="s">
        <v>3263</v>
      </c>
      <c r="AM190" t="s">
        <v>1980</v>
      </c>
      <c r="AN190" t="s">
        <v>3264</v>
      </c>
      <c r="AO190" t="s">
        <v>3265</v>
      </c>
      <c r="AP190" t="s">
        <v>74</v>
      </c>
      <c r="AQ190" t="s">
        <v>74</v>
      </c>
      <c r="AR190" t="s">
        <v>3266</v>
      </c>
      <c r="AS190" t="s">
        <v>3267</v>
      </c>
      <c r="AT190" t="s">
        <v>74</v>
      </c>
      <c r="AU190">
        <v>2006</v>
      </c>
      <c r="AV190">
        <v>15</v>
      </c>
      <c r="AW190">
        <v>3</v>
      </c>
      <c r="AX190" t="s">
        <v>74</v>
      </c>
      <c r="AY190" t="s">
        <v>74</v>
      </c>
      <c r="AZ190" t="s">
        <v>74</v>
      </c>
      <c r="BA190" t="s">
        <v>74</v>
      </c>
      <c r="BB190">
        <v>371</v>
      </c>
      <c r="BC190">
        <v>378</v>
      </c>
      <c r="BD190" t="s">
        <v>74</v>
      </c>
      <c r="BE190" t="s">
        <v>3268</v>
      </c>
      <c r="BF190" t="str">
        <f>HYPERLINK("http://dx.doi.org/10.1127/0941-2948/2006/0123","http://dx.doi.org/10.1127/0941-2948/2006/0123")</f>
        <v>http://dx.doi.org/10.1127/0941-2948/2006/0123</v>
      </c>
      <c r="BG190" t="s">
        <v>74</v>
      </c>
      <c r="BH190" t="s">
        <v>74</v>
      </c>
      <c r="BI190">
        <v>8</v>
      </c>
      <c r="BJ190" t="s">
        <v>2033</v>
      </c>
      <c r="BK190" t="s">
        <v>356</v>
      </c>
      <c r="BL190" t="s">
        <v>2033</v>
      </c>
      <c r="BM190" t="s">
        <v>3269</v>
      </c>
      <c r="BN190" t="s">
        <v>74</v>
      </c>
      <c r="BO190" t="s">
        <v>74</v>
      </c>
      <c r="BP190" t="s">
        <v>74</v>
      </c>
      <c r="BQ190" t="s">
        <v>74</v>
      </c>
      <c r="BR190" t="s">
        <v>101</v>
      </c>
      <c r="BS190" t="s">
        <v>3270</v>
      </c>
      <c r="BT190" t="str">
        <f>HYPERLINK("https%3A%2F%2Fwww.webofscience.com%2Fwos%2Fwoscc%2Ffull-record%2FWOS:000239214800015","View Full Record in Web of Science")</f>
        <v>View Full Record in Web of Science</v>
      </c>
    </row>
    <row r="191" spans="1:72" x14ac:dyDescent="0.15">
      <c r="A191" t="s">
        <v>72</v>
      </c>
      <c r="B191" t="s">
        <v>3271</v>
      </c>
      <c r="C191" t="s">
        <v>74</v>
      </c>
      <c r="D191" t="s">
        <v>74</v>
      </c>
      <c r="E191" t="s">
        <v>74</v>
      </c>
      <c r="F191" t="s">
        <v>3271</v>
      </c>
      <c r="G191" t="s">
        <v>74</v>
      </c>
      <c r="H191" t="s">
        <v>74</v>
      </c>
      <c r="I191" t="s">
        <v>3272</v>
      </c>
      <c r="J191" t="s">
        <v>3273</v>
      </c>
      <c r="K191" t="s">
        <v>74</v>
      </c>
      <c r="L191" t="s">
        <v>74</v>
      </c>
      <c r="M191" t="s">
        <v>77</v>
      </c>
      <c r="N191" t="s">
        <v>78</v>
      </c>
      <c r="O191" t="s">
        <v>74</v>
      </c>
      <c r="P191" t="s">
        <v>74</v>
      </c>
      <c r="Q191" t="s">
        <v>74</v>
      </c>
      <c r="R191" t="s">
        <v>74</v>
      </c>
      <c r="S191" t="s">
        <v>74</v>
      </c>
      <c r="T191" t="s">
        <v>3274</v>
      </c>
      <c r="U191" t="s">
        <v>3275</v>
      </c>
      <c r="V191" t="s">
        <v>3276</v>
      </c>
      <c r="W191" t="s">
        <v>3277</v>
      </c>
      <c r="X191" t="s">
        <v>3278</v>
      </c>
      <c r="Y191" t="s">
        <v>3279</v>
      </c>
      <c r="Z191" t="s">
        <v>3280</v>
      </c>
      <c r="AA191" t="s">
        <v>3281</v>
      </c>
      <c r="AB191" t="s">
        <v>3282</v>
      </c>
      <c r="AC191" t="s">
        <v>74</v>
      </c>
      <c r="AD191" t="s">
        <v>74</v>
      </c>
      <c r="AE191" t="s">
        <v>74</v>
      </c>
      <c r="AF191" t="s">
        <v>74</v>
      </c>
      <c r="AG191">
        <v>24</v>
      </c>
      <c r="AH191">
        <v>31</v>
      </c>
      <c r="AI191">
        <v>33</v>
      </c>
      <c r="AJ191">
        <v>0</v>
      </c>
      <c r="AK191">
        <v>23</v>
      </c>
      <c r="AL191" t="s">
        <v>3283</v>
      </c>
      <c r="AM191" t="s">
        <v>1148</v>
      </c>
      <c r="AN191" t="s">
        <v>3284</v>
      </c>
      <c r="AO191" t="s">
        <v>3285</v>
      </c>
      <c r="AP191" t="s">
        <v>3286</v>
      </c>
      <c r="AQ191" t="s">
        <v>74</v>
      </c>
      <c r="AR191" t="s">
        <v>3287</v>
      </c>
      <c r="AS191" t="s">
        <v>3288</v>
      </c>
      <c r="AT191" t="s">
        <v>95</v>
      </c>
      <c r="AU191">
        <v>2006</v>
      </c>
      <c r="AV191">
        <v>82</v>
      </c>
      <c r="AW191">
        <v>1</v>
      </c>
      <c r="AX191" t="s">
        <v>74</v>
      </c>
      <c r="AY191" t="s">
        <v>74</v>
      </c>
      <c r="AZ191" t="s">
        <v>74</v>
      </c>
      <c r="BA191" t="s">
        <v>74</v>
      </c>
      <c r="BB191">
        <v>1</v>
      </c>
      <c r="BC191">
        <v>7</v>
      </c>
      <c r="BD191" t="s">
        <v>74</v>
      </c>
      <c r="BE191" t="s">
        <v>3289</v>
      </c>
      <c r="BF191" t="str">
        <f>HYPERLINK("http://dx.doi.org/10.1016/j.microc.2005.04.001","http://dx.doi.org/10.1016/j.microc.2005.04.001")</f>
        <v>http://dx.doi.org/10.1016/j.microc.2005.04.001</v>
      </c>
      <c r="BG191" t="s">
        <v>74</v>
      </c>
      <c r="BH191" t="s">
        <v>74</v>
      </c>
      <c r="BI191">
        <v>7</v>
      </c>
      <c r="BJ191" t="s">
        <v>3290</v>
      </c>
      <c r="BK191" t="s">
        <v>98</v>
      </c>
      <c r="BL191" t="s">
        <v>3291</v>
      </c>
      <c r="BM191" t="s">
        <v>3292</v>
      </c>
      <c r="BN191" t="s">
        <v>74</v>
      </c>
      <c r="BO191" t="s">
        <v>74</v>
      </c>
      <c r="BP191" t="s">
        <v>74</v>
      </c>
      <c r="BQ191" t="s">
        <v>74</v>
      </c>
      <c r="BR191" t="s">
        <v>101</v>
      </c>
      <c r="BS191" t="s">
        <v>3293</v>
      </c>
      <c r="BT191" t="str">
        <f>HYPERLINK("https%3A%2F%2Fwww.webofscience.com%2Fwos%2Fwoscc%2Ffull-record%2FWOS:000235682400001","View Full Record in Web of Science")</f>
        <v>View Full Record in Web of Science</v>
      </c>
    </row>
    <row r="192" spans="1:72" x14ac:dyDescent="0.15">
      <c r="A192" t="s">
        <v>72</v>
      </c>
      <c r="B192" t="s">
        <v>3294</v>
      </c>
      <c r="C192" t="s">
        <v>74</v>
      </c>
      <c r="D192" t="s">
        <v>74</v>
      </c>
      <c r="E192" t="s">
        <v>74</v>
      </c>
      <c r="F192" t="s">
        <v>3295</v>
      </c>
      <c r="G192" t="s">
        <v>74</v>
      </c>
      <c r="H192" t="s">
        <v>74</v>
      </c>
      <c r="I192" t="s">
        <v>3296</v>
      </c>
      <c r="J192" t="s">
        <v>3297</v>
      </c>
      <c r="K192" t="s">
        <v>74</v>
      </c>
      <c r="L192" t="s">
        <v>74</v>
      </c>
      <c r="M192" t="s">
        <v>77</v>
      </c>
      <c r="N192" t="s">
        <v>335</v>
      </c>
      <c r="O192" t="s">
        <v>3298</v>
      </c>
      <c r="P192" t="s">
        <v>3299</v>
      </c>
      <c r="Q192" t="s">
        <v>3300</v>
      </c>
      <c r="R192" t="s">
        <v>74</v>
      </c>
      <c r="S192" t="s">
        <v>74</v>
      </c>
      <c r="T192" t="s">
        <v>3301</v>
      </c>
      <c r="U192" t="s">
        <v>3302</v>
      </c>
      <c r="V192" t="s">
        <v>3303</v>
      </c>
      <c r="W192" t="s">
        <v>3304</v>
      </c>
      <c r="X192" t="s">
        <v>3305</v>
      </c>
      <c r="Y192" t="s">
        <v>3306</v>
      </c>
      <c r="Z192" t="s">
        <v>3307</v>
      </c>
      <c r="AA192" t="s">
        <v>74</v>
      </c>
      <c r="AB192" t="s">
        <v>74</v>
      </c>
      <c r="AC192" t="s">
        <v>74</v>
      </c>
      <c r="AD192" t="s">
        <v>74</v>
      </c>
      <c r="AE192" t="s">
        <v>74</v>
      </c>
      <c r="AF192" t="s">
        <v>74</v>
      </c>
      <c r="AG192">
        <v>36</v>
      </c>
      <c r="AH192">
        <v>25</v>
      </c>
      <c r="AI192">
        <v>27</v>
      </c>
      <c r="AJ192">
        <v>0</v>
      </c>
      <c r="AK192">
        <v>6</v>
      </c>
      <c r="AL192" t="s">
        <v>622</v>
      </c>
      <c r="AM192" t="s">
        <v>140</v>
      </c>
      <c r="AN192" t="s">
        <v>623</v>
      </c>
      <c r="AO192" t="s">
        <v>3308</v>
      </c>
      <c r="AP192" t="s">
        <v>74</v>
      </c>
      <c r="AQ192" t="s">
        <v>74</v>
      </c>
      <c r="AR192" t="s">
        <v>3297</v>
      </c>
      <c r="AS192" t="s">
        <v>3309</v>
      </c>
      <c r="AT192" t="s">
        <v>74</v>
      </c>
      <c r="AU192">
        <v>2006</v>
      </c>
      <c r="AV192">
        <v>37</v>
      </c>
      <c r="AW192">
        <v>5</v>
      </c>
      <c r="AX192" t="s">
        <v>74</v>
      </c>
      <c r="AY192" t="s">
        <v>74</v>
      </c>
      <c r="AZ192" t="s">
        <v>74</v>
      </c>
      <c r="BA192" t="s">
        <v>74</v>
      </c>
      <c r="BB192">
        <v>452</v>
      </c>
      <c r="BC192">
        <v>458</v>
      </c>
      <c r="BD192" t="s">
        <v>74</v>
      </c>
      <c r="BE192" t="s">
        <v>3310</v>
      </c>
      <c r="BF192" t="str">
        <f>HYPERLINK("http://dx.doi.org/10.1016/j.micron.2005.11.004","http://dx.doi.org/10.1016/j.micron.2005.11.004")</f>
        <v>http://dx.doi.org/10.1016/j.micron.2005.11.004</v>
      </c>
      <c r="BG192" t="s">
        <v>74</v>
      </c>
      <c r="BH192" t="s">
        <v>74</v>
      </c>
      <c r="BI192">
        <v>7</v>
      </c>
      <c r="BJ192" t="s">
        <v>3311</v>
      </c>
      <c r="BK192" t="s">
        <v>1411</v>
      </c>
      <c r="BL192" t="s">
        <v>3311</v>
      </c>
      <c r="BM192" t="s">
        <v>3312</v>
      </c>
      <c r="BN192">
        <v>16376553</v>
      </c>
      <c r="BO192" t="s">
        <v>74</v>
      </c>
      <c r="BP192" t="s">
        <v>74</v>
      </c>
      <c r="BQ192" t="s">
        <v>74</v>
      </c>
      <c r="BR192" t="s">
        <v>101</v>
      </c>
      <c r="BS192" t="s">
        <v>3313</v>
      </c>
      <c r="BT192" t="str">
        <f>HYPERLINK("https%3A%2F%2Fwww.webofscience.com%2Fwos%2Fwoscc%2Ffull-record%2FWOS:000238806400013","View Full Record in Web of Science")</f>
        <v>View Full Record in Web of Science</v>
      </c>
    </row>
    <row r="193" spans="1:72" x14ac:dyDescent="0.15">
      <c r="A193" t="s">
        <v>72</v>
      </c>
      <c r="B193" t="s">
        <v>3314</v>
      </c>
      <c r="C193" t="s">
        <v>74</v>
      </c>
      <c r="D193" t="s">
        <v>74</v>
      </c>
      <c r="E193" t="s">
        <v>74</v>
      </c>
      <c r="F193" t="s">
        <v>3315</v>
      </c>
      <c r="G193" t="s">
        <v>74</v>
      </c>
      <c r="H193" t="s">
        <v>74</v>
      </c>
      <c r="I193" t="s">
        <v>3316</v>
      </c>
      <c r="J193" t="s">
        <v>3317</v>
      </c>
      <c r="K193" t="s">
        <v>74</v>
      </c>
      <c r="L193" t="s">
        <v>74</v>
      </c>
      <c r="M193" t="s">
        <v>77</v>
      </c>
      <c r="N193" t="s">
        <v>78</v>
      </c>
      <c r="O193" t="s">
        <v>74</v>
      </c>
      <c r="P193" t="s">
        <v>74</v>
      </c>
      <c r="Q193" t="s">
        <v>74</v>
      </c>
      <c r="R193" t="s">
        <v>74</v>
      </c>
      <c r="S193" t="s">
        <v>74</v>
      </c>
      <c r="T193" t="s">
        <v>74</v>
      </c>
      <c r="U193" t="s">
        <v>3318</v>
      </c>
      <c r="V193" t="s">
        <v>3319</v>
      </c>
      <c r="W193" t="s">
        <v>3320</v>
      </c>
      <c r="X193" t="s">
        <v>3321</v>
      </c>
      <c r="Y193" t="s">
        <v>3322</v>
      </c>
      <c r="Z193" t="s">
        <v>3323</v>
      </c>
      <c r="AA193" t="s">
        <v>3324</v>
      </c>
      <c r="AB193" t="s">
        <v>3325</v>
      </c>
      <c r="AC193" t="s">
        <v>74</v>
      </c>
      <c r="AD193" t="s">
        <v>74</v>
      </c>
      <c r="AE193" t="s">
        <v>74</v>
      </c>
      <c r="AF193" t="s">
        <v>74</v>
      </c>
      <c r="AG193">
        <v>91</v>
      </c>
      <c r="AH193">
        <v>20</v>
      </c>
      <c r="AI193">
        <v>23</v>
      </c>
      <c r="AJ193">
        <v>0</v>
      </c>
      <c r="AK193">
        <v>9</v>
      </c>
      <c r="AL193" t="s">
        <v>3326</v>
      </c>
      <c r="AM193" t="s">
        <v>3327</v>
      </c>
      <c r="AN193" t="s">
        <v>3328</v>
      </c>
      <c r="AO193" t="s">
        <v>3329</v>
      </c>
      <c r="AP193" t="s">
        <v>3330</v>
      </c>
      <c r="AQ193" t="s">
        <v>74</v>
      </c>
      <c r="AR193" t="s">
        <v>3317</v>
      </c>
      <c r="AS193" t="s">
        <v>3331</v>
      </c>
      <c r="AT193" t="s">
        <v>74</v>
      </c>
      <c r="AU193">
        <v>2006</v>
      </c>
      <c r="AV193">
        <v>52</v>
      </c>
      <c r="AW193">
        <v>3</v>
      </c>
      <c r="AX193" t="s">
        <v>74</v>
      </c>
      <c r="AY193" t="s">
        <v>74</v>
      </c>
      <c r="AZ193" t="s">
        <v>74</v>
      </c>
      <c r="BA193" t="s">
        <v>74</v>
      </c>
      <c r="BB193">
        <v>245</v>
      </c>
      <c r="BC193">
        <v>265</v>
      </c>
      <c r="BD193" t="s">
        <v>74</v>
      </c>
      <c r="BE193" t="s">
        <v>3332</v>
      </c>
      <c r="BF193" t="str">
        <f>HYPERLINK("http://dx.doi.org/10.2113/gsmicropal.52.3.245","http://dx.doi.org/10.2113/gsmicropal.52.3.245")</f>
        <v>http://dx.doi.org/10.2113/gsmicropal.52.3.245</v>
      </c>
      <c r="BG193" t="s">
        <v>74</v>
      </c>
      <c r="BH193" t="s">
        <v>74</v>
      </c>
      <c r="BI193">
        <v>21</v>
      </c>
      <c r="BJ193" t="s">
        <v>487</v>
      </c>
      <c r="BK193" t="s">
        <v>98</v>
      </c>
      <c r="BL193" t="s">
        <v>487</v>
      </c>
      <c r="BM193" t="s">
        <v>3333</v>
      </c>
      <c r="BN193" t="s">
        <v>74</v>
      </c>
      <c r="BO193" t="s">
        <v>74</v>
      </c>
      <c r="BP193" t="s">
        <v>74</v>
      </c>
      <c r="BQ193" t="s">
        <v>74</v>
      </c>
      <c r="BR193" t="s">
        <v>101</v>
      </c>
      <c r="BS193" t="s">
        <v>3334</v>
      </c>
      <c r="BT193" t="str">
        <f>HYPERLINK("https%3A%2F%2Fwww.webofscience.com%2Fwos%2Fwoscc%2Ffull-record%2FWOS:000240007700003","View Full Record in Web of Science")</f>
        <v>View Full Record in Web of Science</v>
      </c>
    </row>
    <row r="194" spans="1:72" x14ac:dyDescent="0.15">
      <c r="A194" t="s">
        <v>297</v>
      </c>
      <c r="B194" t="s">
        <v>3335</v>
      </c>
      <c r="C194" t="s">
        <v>74</v>
      </c>
      <c r="D194" t="s">
        <v>3336</v>
      </c>
      <c r="E194" t="s">
        <v>74</v>
      </c>
      <c r="F194" t="s">
        <v>3337</v>
      </c>
      <c r="G194" t="s">
        <v>74</v>
      </c>
      <c r="H194" t="s">
        <v>74</v>
      </c>
      <c r="I194" t="s">
        <v>3338</v>
      </c>
      <c r="J194" t="s">
        <v>3339</v>
      </c>
      <c r="K194" t="s">
        <v>1419</v>
      </c>
      <c r="L194" t="s">
        <v>74</v>
      </c>
      <c r="M194" t="s">
        <v>77</v>
      </c>
      <c r="N194" t="s">
        <v>304</v>
      </c>
      <c r="O194" t="s">
        <v>1420</v>
      </c>
      <c r="P194" t="s">
        <v>1421</v>
      </c>
      <c r="Q194" t="s">
        <v>1422</v>
      </c>
      <c r="R194" t="s">
        <v>74</v>
      </c>
      <c r="S194" t="s">
        <v>74</v>
      </c>
      <c r="T194" t="s">
        <v>3340</v>
      </c>
      <c r="U194" t="s">
        <v>3341</v>
      </c>
      <c r="V194" t="s">
        <v>3342</v>
      </c>
      <c r="W194" t="s">
        <v>3343</v>
      </c>
      <c r="X194" t="s">
        <v>3344</v>
      </c>
      <c r="Y194" t="s">
        <v>3345</v>
      </c>
      <c r="Z194" t="s">
        <v>3346</v>
      </c>
      <c r="AA194" t="s">
        <v>74</v>
      </c>
      <c r="AB194" t="s">
        <v>74</v>
      </c>
      <c r="AC194" t="s">
        <v>3347</v>
      </c>
      <c r="AD194" t="s">
        <v>3348</v>
      </c>
      <c r="AE194" t="s">
        <v>3349</v>
      </c>
      <c r="AF194" t="s">
        <v>74</v>
      </c>
      <c r="AG194">
        <v>12</v>
      </c>
      <c r="AH194">
        <v>0</v>
      </c>
      <c r="AI194">
        <v>0</v>
      </c>
      <c r="AJ194">
        <v>0</v>
      </c>
      <c r="AK194">
        <v>2</v>
      </c>
      <c r="AL194" t="s">
        <v>1434</v>
      </c>
      <c r="AM194" t="s">
        <v>140</v>
      </c>
      <c r="AN194" t="s">
        <v>1435</v>
      </c>
      <c r="AO194" t="s">
        <v>1436</v>
      </c>
      <c r="AP194" t="s">
        <v>74</v>
      </c>
      <c r="AQ194" t="s">
        <v>74</v>
      </c>
      <c r="AR194" t="s">
        <v>1437</v>
      </c>
      <c r="AS194" t="s">
        <v>74</v>
      </c>
      <c r="AT194" t="s">
        <v>74</v>
      </c>
      <c r="AU194">
        <v>2006</v>
      </c>
      <c r="AV194">
        <v>38</v>
      </c>
      <c r="AW194">
        <v>11</v>
      </c>
      <c r="AX194" t="s">
        <v>74</v>
      </c>
      <c r="AY194" t="s">
        <v>74</v>
      </c>
      <c r="AZ194" t="s">
        <v>74</v>
      </c>
      <c r="BA194" t="s">
        <v>74</v>
      </c>
      <c r="BB194">
        <v>2353</v>
      </c>
      <c r="BC194" t="s">
        <v>1059</v>
      </c>
      <c r="BD194" t="s">
        <v>74</v>
      </c>
      <c r="BE194" t="s">
        <v>3350</v>
      </c>
      <c r="BF194" t="str">
        <f>HYPERLINK("http://dx.doi.org/10.1016/j.asr.2005.07.046","http://dx.doi.org/10.1016/j.asr.2005.07.046")</f>
        <v>http://dx.doi.org/10.1016/j.asr.2005.07.046</v>
      </c>
      <c r="BG194" t="s">
        <v>74</v>
      </c>
      <c r="BH194" t="s">
        <v>74</v>
      </c>
      <c r="BI194">
        <v>2</v>
      </c>
      <c r="BJ194" t="s">
        <v>3351</v>
      </c>
      <c r="BK194" t="s">
        <v>328</v>
      </c>
      <c r="BL194" t="s">
        <v>3352</v>
      </c>
      <c r="BM194" t="s">
        <v>3353</v>
      </c>
      <c r="BN194" t="s">
        <v>74</v>
      </c>
      <c r="BO194" t="s">
        <v>74</v>
      </c>
      <c r="BP194" t="s">
        <v>74</v>
      </c>
      <c r="BQ194" t="s">
        <v>74</v>
      </c>
      <c r="BR194" t="s">
        <v>101</v>
      </c>
      <c r="BS194" t="s">
        <v>3354</v>
      </c>
      <c r="BT194" t="str">
        <f>HYPERLINK("https%3A%2F%2Fwww.webofscience.com%2Fwos%2Fwoscc%2Ffull-record%2FWOS:000245237100008","View Full Record in Web of Science")</f>
        <v>View Full Record in Web of Science</v>
      </c>
    </row>
    <row r="195" spans="1:72" x14ac:dyDescent="0.15">
      <c r="A195" t="s">
        <v>297</v>
      </c>
      <c r="B195" t="s">
        <v>3355</v>
      </c>
      <c r="C195" t="s">
        <v>74</v>
      </c>
      <c r="D195" t="s">
        <v>3336</v>
      </c>
      <c r="E195" t="s">
        <v>74</v>
      </c>
      <c r="F195" t="s">
        <v>3356</v>
      </c>
      <c r="G195" t="s">
        <v>74</v>
      </c>
      <c r="H195" t="s">
        <v>74</v>
      </c>
      <c r="I195" t="s">
        <v>3357</v>
      </c>
      <c r="J195" t="s">
        <v>3339</v>
      </c>
      <c r="K195" t="s">
        <v>1419</v>
      </c>
      <c r="L195" t="s">
        <v>74</v>
      </c>
      <c r="M195" t="s">
        <v>77</v>
      </c>
      <c r="N195" t="s">
        <v>304</v>
      </c>
      <c r="O195" t="s">
        <v>1420</v>
      </c>
      <c r="P195" t="s">
        <v>1421</v>
      </c>
      <c r="Q195" t="s">
        <v>1422</v>
      </c>
      <c r="R195" t="s">
        <v>74</v>
      </c>
      <c r="S195" t="s">
        <v>74</v>
      </c>
      <c r="T195" t="s">
        <v>3358</v>
      </c>
      <c r="U195" t="s">
        <v>3359</v>
      </c>
      <c r="V195" t="s">
        <v>3360</v>
      </c>
      <c r="W195" t="s">
        <v>3361</v>
      </c>
      <c r="X195" t="s">
        <v>3362</v>
      </c>
      <c r="Y195" t="s">
        <v>3363</v>
      </c>
      <c r="Z195" t="s">
        <v>3364</v>
      </c>
      <c r="AA195" t="s">
        <v>3365</v>
      </c>
      <c r="AB195" t="s">
        <v>74</v>
      </c>
      <c r="AC195" t="s">
        <v>3366</v>
      </c>
      <c r="AD195" t="s">
        <v>3367</v>
      </c>
      <c r="AE195" t="s">
        <v>3368</v>
      </c>
      <c r="AF195" t="s">
        <v>74</v>
      </c>
      <c r="AG195">
        <v>13</v>
      </c>
      <c r="AH195">
        <v>0</v>
      </c>
      <c r="AI195">
        <v>0</v>
      </c>
      <c r="AJ195">
        <v>0</v>
      </c>
      <c r="AK195">
        <v>0</v>
      </c>
      <c r="AL195" t="s">
        <v>1434</v>
      </c>
      <c r="AM195" t="s">
        <v>140</v>
      </c>
      <c r="AN195" t="s">
        <v>1435</v>
      </c>
      <c r="AO195" t="s">
        <v>1436</v>
      </c>
      <c r="AP195" t="s">
        <v>74</v>
      </c>
      <c r="AQ195" t="s">
        <v>74</v>
      </c>
      <c r="AR195" t="s">
        <v>1437</v>
      </c>
      <c r="AS195" t="s">
        <v>74</v>
      </c>
      <c r="AT195" t="s">
        <v>74</v>
      </c>
      <c r="AU195">
        <v>2006</v>
      </c>
      <c r="AV195">
        <v>38</v>
      </c>
      <c r="AW195">
        <v>11</v>
      </c>
      <c r="AX195" t="s">
        <v>74</v>
      </c>
      <c r="AY195" t="s">
        <v>74</v>
      </c>
      <c r="AZ195" t="s">
        <v>74</v>
      </c>
      <c r="BA195" t="s">
        <v>74</v>
      </c>
      <c r="BB195">
        <v>2374</v>
      </c>
      <c r="BC195" t="s">
        <v>1059</v>
      </c>
      <c r="BD195" t="s">
        <v>74</v>
      </c>
      <c r="BE195" t="s">
        <v>3369</v>
      </c>
      <c r="BF195" t="str">
        <f>HYPERLINK("http://dx.doi.org/10.1016/j.asr.2005.07.041","http://dx.doi.org/10.1016/j.asr.2005.07.041")</f>
        <v>http://dx.doi.org/10.1016/j.asr.2005.07.041</v>
      </c>
      <c r="BG195" t="s">
        <v>74</v>
      </c>
      <c r="BH195" t="s">
        <v>74</v>
      </c>
      <c r="BI195">
        <v>2</v>
      </c>
      <c r="BJ195" t="s">
        <v>3351</v>
      </c>
      <c r="BK195" t="s">
        <v>328</v>
      </c>
      <c r="BL195" t="s">
        <v>3352</v>
      </c>
      <c r="BM195" t="s">
        <v>3353</v>
      </c>
      <c r="BN195" t="s">
        <v>74</v>
      </c>
      <c r="BO195" t="s">
        <v>74</v>
      </c>
      <c r="BP195" t="s">
        <v>74</v>
      </c>
      <c r="BQ195" t="s">
        <v>74</v>
      </c>
      <c r="BR195" t="s">
        <v>101</v>
      </c>
      <c r="BS195" t="s">
        <v>3370</v>
      </c>
      <c r="BT195" t="str">
        <f>HYPERLINK("https%3A%2F%2Fwww.webofscience.com%2Fwos%2Fwoscc%2Ffull-record%2FWOS:000245237100011","View Full Record in Web of Science")</f>
        <v>View Full Record in Web of Science</v>
      </c>
    </row>
    <row r="196" spans="1:72" x14ac:dyDescent="0.15">
      <c r="A196" t="s">
        <v>297</v>
      </c>
      <c r="B196" t="s">
        <v>3371</v>
      </c>
      <c r="C196" t="s">
        <v>74</v>
      </c>
      <c r="D196" t="s">
        <v>3336</v>
      </c>
      <c r="E196" t="s">
        <v>74</v>
      </c>
      <c r="F196" t="s">
        <v>3372</v>
      </c>
      <c r="G196" t="s">
        <v>74</v>
      </c>
      <c r="H196" t="s">
        <v>74</v>
      </c>
      <c r="I196" t="s">
        <v>3373</v>
      </c>
      <c r="J196" t="s">
        <v>3339</v>
      </c>
      <c r="K196" t="s">
        <v>1419</v>
      </c>
      <c r="L196" t="s">
        <v>74</v>
      </c>
      <c r="M196" t="s">
        <v>77</v>
      </c>
      <c r="N196" t="s">
        <v>304</v>
      </c>
      <c r="O196" t="s">
        <v>1420</v>
      </c>
      <c r="P196" t="s">
        <v>1421</v>
      </c>
      <c r="Q196" t="s">
        <v>1422</v>
      </c>
      <c r="R196" t="s">
        <v>74</v>
      </c>
      <c r="S196" t="s">
        <v>74</v>
      </c>
      <c r="T196" t="s">
        <v>3374</v>
      </c>
      <c r="U196" t="s">
        <v>3375</v>
      </c>
      <c r="V196" t="s">
        <v>3376</v>
      </c>
      <c r="W196" t="s">
        <v>3377</v>
      </c>
      <c r="X196" t="s">
        <v>3378</v>
      </c>
      <c r="Y196" t="s">
        <v>3379</v>
      </c>
      <c r="Z196" t="s">
        <v>3380</v>
      </c>
      <c r="AA196" t="s">
        <v>74</v>
      </c>
      <c r="AB196" t="s">
        <v>74</v>
      </c>
      <c r="AC196" t="s">
        <v>3381</v>
      </c>
      <c r="AD196" t="s">
        <v>3382</v>
      </c>
      <c r="AE196" t="s">
        <v>3383</v>
      </c>
      <c r="AF196" t="s">
        <v>74</v>
      </c>
      <c r="AG196">
        <v>23</v>
      </c>
      <c r="AH196">
        <v>0</v>
      </c>
      <c r="AI196">
        <v>0</v>
      </c>
      <c r="AJ196">
        <v>0</v>
      </c>
      <c r="AK196">
        <v>0</v>
      </c>
      <c r="AL196" t="s">
        <v>1434</v>
      </c>
      <c r="AM196" t="s">
        <v>140</v>
      </c>
      <c r="AN196" t="s">
        <v>1435</v>
      </c>
      <c r="AO196" t="s">
        <v>1436</v>
      </c>
      <c r="AP196" t="s">
        <v>74</v>
      </c>
      <c r="AQ196" t="s">
        <v>74</v>
      </c>
      <c r="AR196" t="s">
        <v>1437</v>
      </c>
      <c r="AS196" t="s">
        <v>74</v>
      </c>
      <c r="AT196" t="s">
        <v>74</v>
      </c>
      <c r="AU196">
        <v>2006</v>
      </c>
      <c r="AV196">
        <v>38</v>
      </c>
      <c r="AW196">
        <v>11</v>
      </c>
      <c r="AX196" t="s">
        <v>74</v>
      </c>
      <c r="AY196" t="s">
        <v>74</v>
      </c>
      <c r="AZ196" t="s">
        <v>74</v>
      </c>
      <c r="BA196" t="s">
        <v>74</v>
      </c>
      <c r="BB196">
        <v>2418</v>
      </c>
      <c r="BC196" t="s">
        <v>1059</v>
      </c>
      <c r="BD196" t="s">
        <v>74</v>
      </c>
      <c r="BE196" t="s">
        <v>3384</v>
      </c>
      <c r="BF196" t="str">
        <f>HYPERLINK("http://dx.doi.org/10.1016/j.asr.2005.09.036","http://dx.doi.org/10.1016/j.asr.2005.09.036")</f>
        <v>http://dx.doi.org/10.1016/j.asr.2005.09.036</v>
      </c>
      <c r="BG196" t="s">
        <v>74</v>
      </c>
      <c r="BH196" t="s">
        <v>74</v>
      </c>
      <c r="BI196">
        <v>2</v>
      </c>
      <c r="BJ196" t="s">
        <v>3351</v>
      </c>
      <c r="BK196" t="s">
        <v>328</v>
      </c>
      <c r="BL196" t="s">
        <v>3352</v>
      </c>
      <c r="BM196" t="s">
        <v>3353</v>
      </c>
      <c r="BN196" t="s">
        <v>74</v>
      </c>
      <c r="BO196" t="s">
        <v>74</v>
      </c>
      <c r="BP196" t="s">
        <v>74</v>
      </c>
      <c r="BQ196" t="s">
        <v>74</v>
      </c>
      <c r="BR196" t="s">
        <v>101</v>
      </c>
      <c r="BS196" t="s">
        <v>3385</v>
      </c>
      <c r="BT196" t="str">
        <f>HYPERLINK("https%3A%2F%2Fwww.webofscience.com%2Fwos%2Fwoscc%2Ffull-record%2FWOS:000245237100018","View Full Record in Web of Science")</f>
        <v>View Full Record in Web of Science</v>
      </c>
    </row>
    <row r="197" spans="1:72" x14ac:dyDescent="0.15">
      <c r="A197" t="s">
        <v>297</v>
      </c>
      <c r="B197" t="s">
        <v>3386</v>
      </c>
      <c r="C197" t="s">
        <v>74</v>
      </c>
      <c r="D197" t="s">
        <v>3336</v>
      </c>
      <c r="E197" t="s">
        <v>74</v>
      </c>
      <c r="F197" t="s">
        <v>3387</v>
      </c>
      <c r="G197" t="s">
        <v>74</v>
      </c>
      <c r="H197" t="s">
        <v>74</v>
      </c>
      <c r="I197" t="s">
        <v>3388</v>
      </c>
      <c r="J197" t="s">
        <v>3339</v>
      </c>
      <c r="K197" t="s">
        <v>1419</v>
      </c>
      <c r="L197" t="s">
        <v>74</v>
      </c>
      <c r="M197" t="s">
        <v>77</v>
      </c>
      <c r="N197" t="s">
        <v>304</v>
      </c>
      <c r="O197" t="s">
        <v>1420</v>
      </c>
      <c r="P197" t="s">
        <v>1421</v>
      </c>
      <c r="Q197" t="s">
        <v>1422</v>
      </c>
      <c r="R197" t="s">
        <v>74</v>
      </c>
      <c r="S197" t="s">
        <v>74</v>
      </c>
      <c r="T197" t="s">
        <v>3389</v>
      </c>
      <c r="U197" t="s">
        <v>3390</v>
      </c>
      <c r="V197" t="s">
        <v>3391</v>
      </c>
      <c r="W197" t="s">
        <v>801</v>
      </c>
      <c r="X197" t="s">
        <v>788</v>
      </c>
      <c r="Y197" t="s">
        <v>3392</v>
      </c>
      <c r="Z197" t="s">
        <v>3393</v>
      </c>
      <c r="AA197" t="s">
        <v>74</v>
      </c>
      <c r="AB197" t="s">
        <v>74</v>
      </c>
      <c r="AC197" t="s">
        <v>3394</v>
      </c>
      <c r="AD197" t="s">
        <v>3395</v>
      </c>
      <c r="AE197" t="s">
        <v>74</v>
      </c>
      <c r="AF197" t="s">
        <v>74</v>
      </c>
      <c r="AG197">
        <v>21</v>
      </c>
      <c r="AH197">
        <v>0</v>
      </c>
      <c r="AI197">
        <v>0</v>
      </c>
      <c r="AJ197">
        <v>0</v>
      </c>
      <c r="AK197">
        <v>4</v>
      </c>
      <c r="AL197" t="s">
        <v>1434</v>
      </c>
      <c r="AM197" t="s">
        <v>140</v>
      </c>
      <c r="AN197" t="s">
        <v>1435</v>
      </c>
      <c r="AO197" t="s">
        <v>1436</v>
      </c>
      <c r="AP197" t="s">
        <v>74</v>
      </c>
      <c r="AQ197" t="s">
        <v>74</v>
      </c>
      <c r="AR197" t="s">
        <v>1437</v>
      </c>
      <c r="AS197" t="s">
        <v>74</v>
      </c>
      <c r="AT197" t="s">
        <v>74</v>
      </c>
      <c r="AU197">
        <v>2006</v>
      </c>
      <c r="AV197">
        <v>38</v>
      </c>
      <c r="AW197">
        <v>11</v>
      </c>
      <c r="AX197" t="s">
        <v>74</v>
      </c>
      <c r="AY197" t="s">
        <v>74</v>
      </c>
      <c r="AZ197" t="s">
        <v>74</v>
      </c>
      <c r="BA197" t="s">
        <v>74</v>
      </c>
      <c r="BB197">
        <v>2446</v>
      </c>
      <c r="BC197">
        <v>2451</v>
      </c>
      <c r="BD197" t="s">
        <v>74</v>
      </c>
      <c r="BE197" t="s">
        <v>3396</v>
      </c>
      <c r="BF197" t="str">
        <f>HYPERLINK("http://dx.doi.org/10.1016/j.asr.2006.02.078","http://dx.doi.org/10.1016/j.asr.2006.02.078")</f>
        <v>http://dx.doi.org/10.1016/j.asr.2006.02.078</v>
      </c>
      <c r="BG197" t="s">
        <v>74</v>
      </c>
      <c r="BH197" t="s">
        <v>74</v>
      </c>
      <c r="BI197">
        <v>6</v>
      </c>
      <c r="BJ197" t="s">
        <v>3351</v>
      </c>
      <c r="BK197" t="s">
        <v>328</v>
      </c>
      <c r="BL197" t="s">
        <v>3352</v>
      </c>
      <c r="BM197" t="s">
        <v>3353</v>
      </c>
      <c r="BN197" t="s">
        <v>74</v>
      </c>
      <c r="BO197" t="s">
        <v>74</v>
      </c>
      <c r="BP197" t="s">
        <v>74</v>
      </c>
      <c r="BQ197" t="s">
        <v>74</v>
      </c>
      <c r="BR197" t="s">
        <v>101</v>
      </c>
      <c r="BS197" t="s">
        <v>3397</v>
      </c>
      <c r="BT197" t="str">
        <f>HYPERLINK("https%3A%2F%2Fwww.webofscience.com%2Fwos%2Fwoscc%2Ffull-record%2FWOS:000245237100022","View Full Record in Web of Science")</f>
        <v>View Full Record in Web of Science</v>
      </c>
    </row>
    <row r="198" spans="1:72" x14ac:dyDescent="0.15">
      <c r="A198" t="s">
        <v>297</v>
      </c>
      <c r="B198" t="s">
        <v>3398</v>
      </c>
      <c r="C198" t="s">
        <v>74</v>
      </c>
      <c r="D198" t="s">
        <v>3336</v>
      </c>
      <c r="E198" t="s">
        <v>74</v>
      </c>
      <c r="F198" t="s">
        <v>3399</v>
      </c>
      <c r="G198" t="s">
        <v>74</v>
      </c>
      <c r="H198" t="s">
        <v>74</v>
      </c>
      <c r="I198" t="s">
        <v>3400</v>
      </c>
      <c r="J198" t="s">
        <v>3339</v>
      </c>
      <c r="K198" t="s">
        <v>1419</v>
      </c>
      <c r="L198" t="s">
        <v>74</v>
      </c>
      <c r="M198" t="s">
        <v>77</v>
      </c>
      <c r="N198" t="s">
        <v>304</v>
      </c>
      <c r="O198" t="s">
        <v>1420</v>
      </c>
      <c r="P198" t="s">
        <v>1421</v>
      </c>
      <c r="Q198" t="s">
        <v>1422</v>
      </c>
      <c r="R198" t="s">
        <v>74</v>
      </c>
      <c r="S198" t="s">
        <v>74</v>
      </c>
      <c r="T198" t="s">
        <v>3401</v>
      </c>
      <c r="U198" t="s">
        <v>3402</v>
      </c>
      <c r="V198" t="s">
        <v>3403</v>
      </c>
      <c r="W198" t="s">
        <v>3404</v>
      </c>
      <c r="X198" t="s">
        <v>3405</v>
      </c>
      <c r="Y198" t="s">
        <v>3406</v>
      </c>
      <c r="Z198" t="s">
        <v>3407</v>
      </c>
      <c r="AA198" t="s">
        <v>3408</v>
      </c>
      <c r="AB198" t="s">
        <v>3409</v>
      </c>
      <c r="AC198" t="s">
        <v>74</v>
      </c>
      <c r="AD198" t="s">
        <v>74</v>
      </c>
      <c r="AE198" t="s">
        <v>74</v>
      </c>
      <c r="AF198" t="s">
        <v>74</v>
      </c>
      <c r="AG198">
        <v>26</v>
      </c>
      <c r="AH198">
        <v>0</v>
      </c>
      <c r="AI198">
        <v>0</v>
      </c>
      <c r="AJ198">
        <v>0</v>
      </c>
      <c r="AK198">
        <v>1</v>
      </c>
      <c r="AL198" t="s">
        <v>1434</v>
      </c>
      <c r="AM198" t="s">
        <v>140</v>
      </c>
      <c r="AN198" t="s">
        <v>1435</v>
      </c>
      <c r="AO198" t="s">
        <v>1436</v>
      </c>
      <c r="AP198" t="s">
        <v>74</v>
      </c>
      <c r="AQ198" t="s">
        <v>74</v>
      </c>
      <c r="AR198" t="s">
        <v>1437</v>
      </c>
      <c r="AS198" t="s">
        <v>74</v>
      </c>
      <c r="AT198" t="s">
        <v>74</v>
      </c>
      <c r="AU198">
        <v>2006</v>
      </c>
      <c r="AV198">
        <v>38</v>
      </c>
      <c r="AW198">
        <v>11</v>
      </c>
      <c r="AX198" t="s">
        <v>74</v>
      </c>
      <c r="AY198" t="s">
        <v>74</v>
      </c>
      <c r="AZ198" t="s">
        <v>74</v>
      </c>
      <c r="BA198" t="s">
        <v>74</v>
      </c>
      <c r="BB198">
        <v>2495</v>
      </c>
      <c r="BC198">
        <v>2502</v>
      </c>
      <c r="BD198" t="s">
        <v>74</v>
      </c>
      <c r="BE198" t="s">
        <v>3410</v>
      </c>
      <c r="BF198" t="str">
        <f>HYPERLINK("http://dx.doi.org/10.1016/j.asr.2004.12.047","http://dx.doi.org/10.1016/j.asr.2004.12.047")</f>
        <v>http://dx.doi.org/10.1016/j.asr.2004.12.047</v>
      </c>
      <c r="BG198" t="s">
        <v>74</v>
      </c>
      <c r="BH198" t="s">
        <v>74</v>
      </c>
      <c r="BI198">
        <v>8</v>
      </c>
      <c r="BJ198" t="s">
        <v>3351</v>
      </c>
      <c r="BK198" t="s">
        <v>328</v>
      </c>
      <c r="BL198" t="s">
        <v>3352</v>
      </c>
      <c r="BM198" t="s">
        <v>3353</v>
      </c>
      <c r="BN198" t="s">
        <v>74</v>
      </c>
      <c r="BO198" t="s">
        <v>74</v>
      </c>
      <c r="BP198" t="s">
        <v>74</v>
      </c>
      <c r="BQ198" t="s">
        <v>74</v>
      </c>
      <c r="BR198" t="s">
        <v>101</v>
      </c>
      <c r="BS198" t="s">
        <v>3411</v>
      </c>
      <c r="BT198" t="str">
        <f>HYPERLINK("https%3A%2F%2Fwww.webofscience.com%2Fwos%2Fwoscc%2Ffull-record%2FWOS:000245237100031","View Full Record in Web of Science")</f>
        <v>View Full Record in Web of Science</v>
      </c>
    </row>
    <row r="199" spans="1:72" x14ac:dyDescent="0.15">
      <c r="A199" t="s">
        <v>297</v>
      </c>
      <c r="B199" t="s">
        <v>3412</v>
      </c>
      <c r="C199" t="s">
        <v>74</v>
      </c>
      <c r="D199" t="s">
        <v>3336</v>
      </c>
      <c r="E199" t="s">
        <v>74</v>
      </c>
      <c r="F199" t="s">
        <v>3413</v>
      </c>
      <c r="G199" t="s">
        <v>74</v>
      </c>
      <c r="H199" t="s">
        <v>74</v>
      </c>
      <c r="I199" t="s">
        <v>3414</v>
      </c>
      <c r="J199" t="s">
        <v>3339</v>
      </c>
      <c r="K199" t="s">
        <v>1419</v>
      </c>
      <c r="L199" t="s">
        <v>74</v>
      </c>
      <c r="M199" t="s">
        <v>77</v>
      </c>
      <c r="N199" t="s">
        <v>304</v>
      </c>
      <c r="O199" t="s">
        <v>1420</v>
      </c>
      <c r="P199" t="s">
        <v>1421</v>
      </c>
      <c r="Q199" t="s">
        <v>1422</v>
      </c>
      <c r="R199" t="s">
        <v>74</v>
      </c>
      <c r="S199" t="s">
        <v>74</v>
      </c>
      <c r="T199" t="s">
        <v>3415</v>
      </c>
      <c r="U199" t="s">
        <v>3416</v>
      </c>
      <c r="V199" t="s">
        <v>3417</v>
      </c>
      <c r="W199" t="s">
        <v>3418</v>
      </c>
      <c r="X199" t="s">
        <v>3419</v>
      </c>
      <c r="Y199" t="s">
        <v>3406</v>
      </c>
      <c r="Z199" t="s">
        <v>3420</v>
      </c>
      <c r="AA199" t="s">
        <v>3421</v>
      </c>
      <c r="AB199" t="s">
        <v>74</v>
      </c>
      <c r="AC199" t="s">
        <v>3422</v>
      </c>
      <c r="AD199" t="s">
        <v>3423</v>
      </c>
      <c r="AE199" t="s">
        <v>3424</v>
      </c>
      <c r="AF199" t="s">
        <v>74</v>
      </c>
      <c r="AG199">
        <v>21</v>
      </c>
      <c r="AH199">
        <v>0</v>
      </c>
      <c r="AI199">
        <v>0</v>
      </c>
      <c r="AJ199">
        <v>0</v>
      </c>
      <c r="AK199">
        <v>0</v>
      </c>
      <c r="AL199" t="s">
        <v>1434</v>
      </c>
      <c r="AM199" t="s">
        <v>140</v>
      </c>
      <c r="AN199" t="s">
        <v>1435</v>
      </c>
      <c r="AO199" t="s">
        <v>1436</v>
      </c>
      <c r="AP199" t="s">
        <v>74</v>
      </c>
      <c r="AQ199" t="s">
        <v>74</v>
      </c>
      <c r="AR199" t="s">
        <v>1437</v>
      </c>
      <c r="AS199" t="s">
        <v>74</v>
      </c>
      <c r="AT199" t="s">
        <v>74</v>
      </c>
      <c r="AU199">
        <v>2006</v>
      </c>
      <c r="AV199">
        <v>38</v>
      </c>
      <c r="AW199">
        <v>11</v>
      </c>
      <c r="AX199" t="s">
        <v>74</v>
      </c>
      <c r="AY199" t="s">
        <v>74</v>
      </c>
      <c r="AZ199" t="s">
        <v>74</v>
      </c>
      <c r="BA199" t="s">
        <v>74</v>
      </c>
      <c r="BB199">
        <v>2503</v>
      </c>
      <c r="BC199" t="s">
        <v>1059</v>
      </c>
      <c r="BD199" t="s">
        <v>74</v>
      </c>
      <c r="BE199" t="s">
        <v>3425</v>
      </c>
      <c r="BF199" t="str">
        <f>HYPERLINK("http://dx.doi.org/10.1016/j.asr.2004.12.008","http://dx.doi.org/10.1016/j.asr.2004.12.008")</f>
        <v>http://dx.doi.org/10.1016/j.asr.2004.12.008</v>
      </c>
      <c r="BG199" t="s">
        <v>74</v>
      </c>
      <c r="BH199" t="s">
        <v>74</v>
      </c>
      <c r="BI199">
        <v>3</v>
      </c>
      <c r="BJ199" t="s">
        <v>3351</v>
      </c>
      <c r="BK199" t="s">
        <v>328</v>
      </c>
      <c r="BL199" t="s">
        <v>3352</v>
      </c>
      <c r="BM199" t="s">
        <v>3353</v>
      </c>
      <c r="BN199" t="s">
        <v>74</v>
      </c>
      <c r="BO199" t="s">
        <v>74</v>
      </c>
      <c r="BP199" t="s">
        <v>74</v>
      </c>
      <c r="BQ199" t="s">
        <v>74</v>
      </c>
      <c r="BR199" t="s">
        <v>101</v>
      </c>
      <c r="BS199" t="s">
        <v>3426</v>
      </c>
      <c r="BT199" t="str">
        <f>HYPERLINK("https%3A%2F%2Fwww.webofscience.com%2Fwos%2Fwoscc%2Ffull-record%2FWOS:000245237100032","View Full Record in Web of Science")</f>
        <v>View Full Record in Web of Science</v>
      </c>
    </row>
    <row r="200" spans="1:72" x14ac:dyDescent="0.15">
      <c r="A200" t="s">
        <v>297</v>
      </c>
      <c r="B200" t="s">
        <v>3427</v>
      </c>
      <c r="C200" t="s">
        <v>74</v>
      </c>
      <c r="D200" t="s">
        <v>3336</v>
      </c>
      <c r="E200" t="s">
        <v>74</v>
      </c>
      <c r="F200" t="s">
        <v>3428</v>
      </c>
      <c r="G200" t="s">
        <v>74</v>
      </c>
      <c r="H200" t="s">
        <v>74</v>
      </c>
      <c r="I200" t="s">
        <v>3429</v>
      </c>
      <c r="J200" t="s">
        <v>3339</v>
      </c>
      <c r="K200" t="s">
        <v>1419</v>
      </c>
      <c r="L200" t="s">
        <v>74</v>
      </c>
      <c r="M200" t="s">
        <v>77</v>
      </c>
      <c r="N200" t="s">
        <v>304</v>
      </c>
      <c r="O200" t="s">
        <v>1420</v>
      </c>
      <c r="P200" t="s">
        <v>1421</v>
      </c>
      <c r="Q200" t="s">
        <v>1422</v>
      </c>
      <c r="R200" t="s">
        <v>74</v>
      </c>
      <c r="S200" t="s">
        <v>74</v>
      </c>
      <c r="T200" t="s">
        <v>3430</v>
      </c>
      <c r="U200" t="s">
        <v>3431</v>
      </c>
      <c r="V200" t="s">
        <v>3432</v>
      </c>
      <c r="W200" t="s">
        <v>3433</v>
      </c>
      <c r="X200" t="s">
        <v>3434</v>
      </c>
      <c r="Y200" t="s">
        <v>3435</v>
      </c>
      <c r="Z200" t="s">
        <v>3436</v>
      </c>
      <c r="AA200" t="s">
        <v>74</v>
      </c>
      <c r="AB200" t="s">
        <v>74</v>
      </c>
      <c r="AC200" t="s">
        <v>3437</v>
      </c>
      <c r="AD200" t="s">
        <v>3438</v>
      </c>
      <c r="AE200" t="s">
        <v>3439</v>
      </c>
      <c r="AF200" t="s">
        <v>74</v>
      </c>
      <c r="AG200">
        <v>27</v>
      </c>
      <c r="AH200">
        <v>0</v>
      </c>
      <c r="AI200">
        <v>0</v>
      </c>
      <c r="AJ200">
        <v>0</v>
      </c>
      <c r="AK200">
        <v>1</v>
      </c>
      <c r="AL200" t="s">
        <v>1434</v>
      </c>
      <c r="AM200" t="s">
        <v>140</v>
      </c>
      <c r="AN200" t="s">
        <v>1435</v>
      </c>
      <c r="AO200" t="s">
        <v>1436</v>
      </c>
      <c r="AP200" t="s">
        <v>74</v>
      </c>
      <c r="AQ200" t="s">
        <v>74</v>
      </c>
      <c r="AR200" t="s">
        <v>1437</v>
      </c>
      <c r="AS200" t="s">
        <v>74</v>
      </c>
      <c r="AT200" t="s">
        <v>74</v>
      </c>
      <c r="AU200">
        <v>2006</v>
      </c>
      <c r="AV200">
        <v>38</v>
      </c>
      <c r="AW200">
        <v>11</v>
      </c>
      <c r="AX200" t="s">
        <v>74</v>
      </c>
      <c r="AY200" t="s">
        <v>74</v>
      </c>
      <c r="AZ200" t="s">
        <v>74</v>
      </c>
      <c r="BA200" t="s">
        <v>74</v>
      </c>
      <c r="BB200">
        <v>2601</v>
      </c>
      <c r="BC200" t="s">
        <v>1059</v>
      </c>
      <c r="BD200" t="s">
        <v>74</v>
      </c>
      <c r="BE200" t="s">
        <v>3440</v>
      </c>
      <c r="BF200" t="str">
        <f>HYPERLINK("http://dx.doi.org/10.1016/j.asr.2005.12.006","http://dx.doi.org/10.1016/j.asr.2005.12.006")</f>
        <v>http://dx.doi.org/10.1016/j.asr.2005.12.006</v>
      </c>
      <c r="BG200" t="s">
        <v>74</v>
      </c>
      <c r="BH200" t="s">
        <v>74</v>
      </c>
      <c r="BI200">
        <v>3</v>
      </c>
      <c r="BJ200" t="s">
        <v>3351</v>
      </c>
      <c r="BK200" t="s">
        <v>328</v>
      </c>
      <c r="BL200" t="s">
        <v>3352</v>
      </c>
      <c r="BM200" t="s">
        <v>3353</v>
      </c>
      <c r="BN200" t="s">
        <v>74</v>
      </c>
      <c r="BO200" t="s">
        <v>74</v>
      </c>
      <c r="BP200" t="s">
        <v>74</v>
      </c>
      <c r="BQ200" t="s">
        <v>74</v>
      </c>
      <c r="BR200" t="s">
        <v>101</v>
      </c>
      <c r="BS200" t="s">
        <v>3441</v>
      </c>
      <c r="BT200" t="str">
        <f>HYPERLINK("https%3A%2F%2Fwww.webofscience.com%2Fwos%2Fwoscc%2Ffull-record%2FWOS:000245237100047","View Full Record in Web of Science")</f>
        <v>View Full Record in Web of Science</v>
      </c>
    </row>
    <row r="201" spans="1:72" x14ac:dyDescent="0.15">
      <c r="A201" t="s">
        <v>297</v>
      </c>
      <c r="B201" t="s">
        <v>3442</v>
      </c>
      <c r="C201" t="s">
        <v>74</v>
      </c>
      <c r="D201" t="s">
        <v>74</v>
      </c>
      <c r="E201" t="s">
        <v>505</v>
      </c>
      <c r="F201" t="s">
        <v>3443</v>
      </c>
      <c r="G201" t="s">
        <v>74</v>
      </c>
      <c r="H201" t="s">
        <v>74</v>
      </c>
      <c r="I201" t="s">
        <v>3444</v>
      </c>
      <c r="J201" t="s">
        <v>3445</v>
      </c>
      <c r="K201" t="s">
        <v>74</v>
      </c>
      <c r="L201" t="s">
        <v>74</v>
      </c>
      <c r="M201" t="s">
        <v>77</v>
      </c>
      <c r="N201" t="s">
        <v>304</v>
      </c>
      <c r="O201" t="s">
        <v>3446</v>
      </c>
      <c r="P201" t="s">
        <v>3447</v>
      </c>
      <c r="Q201" t="s">
        <v>1451</v>
      </c>
      <c r="R201" t="s">
        <v>74</v>
      </c>
      <c r="S201" t="s">
        <v>74</v>
      </c>
      <c r="T201" t="s">
        <v>74</v>
      </c>
      <c r="U201" t="s">
        <v>3448</v>
      </c>
      <c r="V201" t="s">
        <v>3449</v>
      </c>
      <c r="W201" t="s">
        <v>3450</v>
      </c>
      <c r="X201" t="s">
        <v>3451</v>
      </c>
      <c r="Y201" t="s">
        <v>3452</v>
      </c>
      <c r="Z201" t="s">
        <v>74</v>
      </c>
      <c r="AA201" t="s">
        <v>3453</v>
      </c>
      <c r="AB201" t="s">
        <v>3454</v>
      </c>
      <c r="AC201" t="s">
        <v>3455</v>
      </c>
      <c r="AD201" t="s">
        <v>3456</v>
      </c>
      <c r="AE201" t="s">
        <v>3457</v>
      </c>
      <c r="AF201" t="s">
        <v>74</v>
      </c>
      <c r="AG201">
        <v>14</v>
      </c>
      <c r="AH201">
        <v>0</v>
      </c>
      <c r="AI201">
        <v>0</v>
      </c>
      <c r="AJ201">
        <v>0</v>
      </c>
      <c r="AK201">
        <v>1</v>
      </c>
      <c r="AL201" t="s">
        <v>505</v>
      </c>
      <c r="AM201" t="s">
        <v>89</v>
      </c>
      <c r="AN201" t="s">
        <v>506</v>
      </c>
      <c r="AO201" t="s">
        <v>74</v>
      </c>
      <c r="AP201" t="s">
        <v>74</v>
      </c>
      <c r="AQ201" t="s">
        <v>3458</v>
      </c>
      <c r="AR201" t="s">
        <v>74</v>
      </c>
      <c r="AS201" t="s">
        <v>74</v>
      </c>
      <c r="AT201" t="s">
        <v>74</v>
      </c>
      <c r="AU201">
        <v>2006</v>
      </c>
      <c r="AV201" t="s">
        <v>74</v>
      </c>
      <c r="AW201" t="s">
        <v>74</v>
      </c>
      <c r="AX201" t="s">
        <v>74</v>
      </c>
      <c r="AY201" t="s">
        <v>74</v>
      </c>
      <c r="AZ201" t="s">
        <v>74</v>
      </c>
      <c r="BA201" t="s">
        <v>74</v>
      </c>
      <c r="BB201">
        <v>1931</v>
      </c>
      <c r="BC201" t="s">
        <v>1059</v>
      </c>
      <c r="BD201" t="s">
        <v>74</v>
      </c>
      <c r="BE201" t="s">
        <v>74</v>
      </c>
      <c r="BF201" t="s">
        <v>74</v>
      </c>
      <c r="BG201" t="s">
        <v>74</v>
      </c>
      <c r="BH201" t="s">
        <v>74</v>
      </c>
      <c r="BI201">
        <v>2</v>
      </c>
      <c r="BJ201" t="s">
        <v>3459</v>
      </c>
      <c r="BK201" t="s">
        <v>328</v>
      </c>
      <c r="BL201" t="s">
        <v>3459</v>
      </c>
      <c r="BM201" t="s">
        <v>3460</v>
      </c>
      <c r="BN201" t="s">
        <v>74</v>
      </c>
      <c r="BO201" t="s">
        <v>74</v>
      </c>
      <c r="BP201" t="s">
        <v>74</v>
      </c>
      <c r="BQ201" t="s">
        <v>74</v>
      </c>
      <c r="BR201" t="s">
        <v>101</v>
      </c>
      <c r="BS201" t="s">
        <v>3461</v>
      </c>
      <c r="BT201" t="str">
        <f>HYPERLINK("https%3A%2F%2Fwww.webofscience.com%2Fwos%2Fwoscc%2Ffull-record%2FWOS:000244601003051","View Full Record in Web of Science")</f>
        <v>View Full Record in Web of Science</v>
      </c>
    </row>
    <row r="202" spans="1:72" x14ac:dyDescent="0.15">
      <c r="A202" t="s">
        <v>72</v>
      </c>
      <c r="B202" t="s">
        <v>3462</v>
      </c>
      <c r="C202" t="s">
        <v>74</v>
      </c>
      <c r="D202" t="s">
        <v>74</v>
      </c>
      <c r="E202" t="s">
        <v>74</v>
      </c>
      <c r="F202" t="s">
        <v>3463</v>
      </c>
      <c r="G202" t="s">
        <v>74</v>
      </c>
      <c r="H202" t="s">
        <v>74</v>
      </c>
      <c r="I202" t="s">
        <v>3464</v>
      </c>
      <c r="J202" t="s">
        <v>3465</v>
      </c>
      <c r="K202" t="s">
        <v>74</v>
      </c>
      <c r="L202" t="s">
        <v>74</v>
      </c>
      <c r="M202" t="s">
        <v>77</v>
      </c>
      <c r="N202" t="s">
        <v>3466</v>
      </c>
      <c r="O202" t="s">
        <v>74</v>
      </c>
      <c r="P202" t="s">
        <v>74</v>
      </c>
      <c r="Q202" t="s">
        <v>74</v>
      </c>
      <c r="R202" t="s">
        <v>74</v>
      </c>
      <c r="S202" t="s">
        <v>74</v>
      </c>
      <c r="T202" t="s">
        <v>74</v>
      </c>
      <c r="U202" t="s">
        <v>74</v>
      </c>
      <c r="V202" t="s">
        <v>74</v>
      </c>
      <c r="W202" t="s">
        <v>74</v>
      </c>
      <c r="X202" t="s">
        <v>74</v>
      </c>
      <c r="Y202" t="s">
        <v>74</v>
      </c>
      <c r="Z202" t="s">
        <v>74</v>
      </c>
      <c r="AA202" t="s">
        <v>74</v>
      </c>
      <c r="AB202" t="s">
        <v>74</v>
      </c>
      <c r="AC202" t="s">
        <v>74</v>
      </c>
      <c r="AD202" t="s">
        <v>74</v>
      </c>
      <c r="AE202" t="s">
        <v>74</v>
      </c>
      <c r="AF202" t="s">
        <v>74</v>
      </c>
      <c r="AG202">
        <v>1</v>
      </c>
      <c r="AH202">
        <v>0</v>
      </c>
      <c r="AI202">
        <v>0</v>
      </c>
      <c r="AJ202">
        <v>0</v>
      </c>
      <c r="AK202">
        <v>3</v>
      </c>
      <c r="AL202" t="s">
        <v>3467</v>
      </c>
      <c r="AM202" t="s">
        <v>3468</v>
      </c>
      <c r="AN202" t="s">
        <v>3469</v>
      </c>
      <c r="AO202" t="s">
        <v>3470</v>
      </c>
      <c r="AP202" t="s">
        <v>74</v>
      </c>
      <c r="AQ202" t="s">
        <v>74</v>
      </c>
      <c r="AR202" t="s">
        <v>3465</v>
      </c>
      <c r="AS202" t="s">
        <v>3471</v>
      </c>
      <c r="AT202" t="s">
        <v>2209</v>
      </c>
      <c r="AU202">
        <v>2006</v>
      </c>
      <c r="AV202">
        <v>95</v>
      </c>
      <c r="AW202" t="s">
        <v>74</v>
      </c>
      <c r="AX202" t="s">
        <v>74</v>
      </c>
      <c r="AY202" t="s">
        <v>74</v>
      </c>
      <c r="AZ202" t="s">
        <v>74</v>
      </c>
      <c r="BA202" t="s">
        <v>74</v>
      </c>
      <c r="BB202">
        <v>348</v>
      </c>
      <c r="BC202">
        <v>348</v>
      </c>
      <c r="BD202" t="s">
        <v>74</v>
      </c>
      <c r="BE202" t="s">
        <v>74</v>
      </c>
      <c r="BF202" t="s">
        <v>74</v>
      </c>
      <c r="BG202" t="s">
        <v>74</v>
      </c>
      <c r="BH202" t="s">
        <v>74</v>
      </c>
      <c r="BI202">
        <v>1</v>
      </c>
      <c r="BJ202" t="s">
        <v>3472</v>
      </c>
      <c r="BK202" t="s">
        <v>98</v>
      </c>
      <c r="BL202" t="s">
        <v>3472</v>
      </c>
      <c r="BM202" t="s">
        <v>3473</v>
      </c>
      <c r="BN202" t="s">
        <v>74</v>
      </c>
      <c r="BO202" t="s">
        <v>74</v>
      </c>
      <c r="BP202" t="s">
        <v>74</v>
      </c>
      <c r="BQ202" t="s">
        <v>74</v>
      </c>
      <c r="BR202" t="s">
        <v>101</v>
      </c>
      <c r="BS202" t="s">
        <v>3474</v>
      </c>
      <c r="BT202" t="str">
        <f>HYPERLINK("https%3A%2F%2Fwww.webofscience.com%2Fwos%2Fwoscc%2Ffull-record%2FWOS:000238399700037","View Full Record in Web of Science")</f>
        <v>View Full Record in Web of Science</v>
      </c>
    </row>
    <row r="203" spans="1:72" x14ac:dyDescent="0.15">
      <c r="A203" t="s">
        <v>72</v>
      </c>
      <c r="B203" t="s">
        <v>3475</v>
      </c>
      <c r="C203" t="s">
        <v>74</v>
      </c>
      <c r="D203" t="s">
        <v>74</v>
      </c>
      <c r="E203" t="s">
        <v>74</v>
      </c>
      <c r="F203" t="s">
        <v>3476</v>
      </c>
      <c r="G203" t="s">
        <v>74</v>
      </c>
      <c r="H203" t="s">
        <v>74</v>
      </c>
      <c r="I203" t="s">
        <v>3477</v>
      </c>
      <c r="J203" t="s">
        <v>3478</v>
      </c>
      <c r="K203" t="s">
        <v>74</v>
      </c>
      <c r="L203" t="s">
        <v>74</v>
      </c>
      <c r="M203" t="s">
        <v>77</v>
      </c>
      <c r="N203" t="s">
        <v>78</v>
      </c>
      <c r="O203" t="s">
        <v>74</v>
      </c>
      <c r="P203" t="s">
        <v>74</v>
      </c>
      <c r="Q203" t="s">
        <v>74</v>
      </c>
      <c r="R203" t="s">
        <v>74</v>
      </c>
      <c r="S203" t="s">
        <v>74</v>
      </c>
      <c r="T203" t="s">
        <v>3479</v>
      </c>
      <c r="U203" t="s">
        <v>3480</v>
      </c>
      <c r="V203" t="s">
        <v>3481</v>
      </c>
      <c r="W203" t="s">
        <v>3482</v>
      </c>
      <c r="X203" t="s">
        <v>3483</v>
      </c>
      <c r="Y203" t="s">
        <v>3484</v>
      </c>
      <c r="Z203" t="s">
        <v>3485</v>
      </c>
      <c r="AA203" t="s">
        <v>74</v>
      </c>
      <c r="AB203" t="s">
        <v>3486</v>
      </c>
      <c r="AC203" t="s">
        <v>74</v>
      </c>
      <c r="AD203" t="s">
        <v>74</v>
      </c>
      <c r="AE203" t="s">
        <v>74</v>
      </c>
      <c r="AF203" t="s">
        <v>74</v>
      </c>
      <c r="AG203">
        <v>39</v>
      </c>
      <c r="AH203">
        <v>1</v>
      </c>
      <c r="AI203">
        <v>1</v>
      </c>
      <c r="AJ203">
        <v>0</v>
      </c>
      <c r="AK203">
        <v>1</v>
      </c>
      <c r="AL203" t="s">
        <v>3487</v>
      </c>
      <c r="AM203" t="s">
        <v>3488</v>
      </c>
      <c r="AN203" t="s">
        <v>3489</v>
      </c>
      <c r="AO203" t="s">
        <v>3490</v>
      </c>
      <c r="AP203" t="s">
        <v>3491</v>
      </c>
      <c r="AQ203" t="s">
        <v>74</v>
      </c>
      <c r="AR203" t="s">
        <v>3492</v>
      </c>
      <c r="AS203" t="s">
        <v>3493</v>
      </c>
      <c r="AT203" t="s">
        <v>74</v>
      </c>
      <c r="AU203">
        <v>2006</v>
      </c>
      <c r="AV203">
        <v>29</v>
      </c>
      <c r="AW203" t="s">
        <v>3494</v>
      </c>
      <c r="AX203" t="s">
        <v>74</v>
      </c>
      <c r="AY203" t="s">
        <v>74</v>
      </c>
      <c r="AZ203" t="s">
        <v>74</v>
      </c>
      <c r="BA203" t="s">
        <v>74</v>
      </c>
      <c r="BB203">
        <v>213</v>
      </c>
      <c r="BC203">
        <v>219</v>
      </c>
      <c r="BD203" t="s">
        <v>74</v>
      </c>
      <c r="BE203" t="s">
        <v>74</v>
      </c>
      <c r="BF203" t="s">
        <v>74</v>
      </c>
      <c r="BG203" t="s">
        <v>74</v>
      </c>
      <c r="BH203" t="s">
        <v>74</v>
      </c>
      <c r="BI203">
        <v>7</v>
      </c>
      <c r="BJ203" t="s">
        <v>3495</v>
      </c>
      <c r="BK203" t="s">
        <v>98</v>
      </c>
      <c r="BL203" t="s">
        <v>3496</v>
      </c>
      <c r="BM203" t="s">
        <v>3497</v>
      </c>
      <c r="BN203" t="s">
        <v>74</v>
      </c>
      <c r="BO203" t="s">
        <v>74</v>
      </c>
      <c r="BP203" t="s">
        <v>74</v>
      </c>
      <c r="BQ203" t="s">
        <v>74</v>
      </c>
      <c r="BR203" t="s">
        <v>101</v>
      </c>
      <c r="BS203" t="s">
        <v>3498</v>
      </c>
      <c r="BT203" t="str">
        <f>HYPERLINK("https%3A%2F%2Fwww.webofscience.com%2Fwos%2Fwoscc%2Ffull-record%2FWOS:000239250500011","View Full Record in Web of Science")</f>
        <v>View Full Record in Web of Science</v>
      </c>
    </row>
    <row r="204" spans="1:72" x14ac:dyDescent="0.15">
      <c r="A204" t="s">
        <v>577</v>
      </c>
      <c r="B204" t="s">
        <v>3499</v>
      </c>
      <c r="C204" t="s">
        <v>74</v>
      </c>
      <c r="D204" t="s">
        <v>3500</v>
      </c>
      <c r="E204" t="s">
        <v>74</v>
      </c>
      <c r="F204" t="s">
        <v>3501</v>
      </c>
      <c r="G204" t="s">
        <v>74</v>
      </c>
      <c r="H204" t="s">
        <v>74</v>
      </c>
      <c r="I204" t="s">
        <v>3502</v>
      </c>
      <c r="J204" t="s">
        <v>3503</v>
      </c>
      <c r="K204" t="s">
        <v>1419</v>
      </c>
      <c r="L204" t="s">
        <v>74</v>
      </c>
      <c r="M204" t="s">
        <v>77</v>
      </c>
      <c r="N204" t="s">
        <v>335</v>
      </c>
      <c r="O204" t="s">
        <v>1420</v>
      </c>
      <c r="P204" t="s">
        <v>1421</v>
      </c>
      <c r="Q204" t="s">
        <v>1422</v>
      </c>
      <c r="R204" t="s">
        <v>74</v>
      </c>
      <c r="S204" t="s">
        <v>74</v>
      </c>
      <c r="T204" t="s">
        <v>3504</v>
      </c>
      <c r="U204" t="s">
        <v>74</v>
      </c>
      <c r="V204" t="s">
        <v>3505</v>
      </c>
      <c r="W204" t="s">
        <v>3506</v>
      </c>
      <c r="X204" t="s">
        <v>3507</v>
      </c>
      <c r="Y204" t="s">
        <v>3508</v>
      </c>
      <c r="Z204" t="s">
        <v>3509</v>
      </c>
      <c r="AA204" t="s">
        <v>3510</v>
      </c>
      <c r="AB204" t="s">
        <v>3511</v>
      </c>
      <c r="AC204" t="s">
        <v>74</v>
      </c>
      <c r="AD204" t="s">
        <v>74</v>
      </c>
      <c r="AE204" t="s">
        <v>74</v>
      </c>
      <c r="AF204" t="s">
        <v>74</v>
      </c>
      <c r="AG204">
        <v>6</v>
      </c>
      <c r="AH204">
        <v>1</v>
      </c>
      <c r="AI204">
        <v>1</v>
      </c>
      <c r="AJ204">
        <v>0</v>
      </c>
      <c r="AK204">
        <v>6</v>
      </c>
      <c r="AL204" t="s">
        <v>1434</v>
      </c>
      <c r="AM204" t="s">
        <v>140</v>
      </c>
      <c r="AN204" t="s">
        <v>1435</v>
      </c>
      <c r="AO204" t="s">
        <v>1436</v>
      </c>
      <c r="AP204" t="s">
        <v>74</v>
      </c>
      <c r="AQ204" t="s">
        <v>74</v>
      </c>
      <c r="AR204" t="s">
        <v>1437</v>
      </c>
      <c r="AS204" t="s">
        <v>74</v>
      </c>
      <c r="AT204" t="s">
        <v>74</v>
      </c>
      <c r="AU204">
        <v>2006</v>
      </c>
      <c r="AV204">
        <v>37</v>
      </c>
      <c r="AW204">
        <v>11</v>
      </c>
      <c r="AX204" t="s">
        <v>74</v>
      </c>
      <c r="AY204" t="s">
        <v>74</v>
      </c>
      <c r="AZ204" t="s">
        <v>74</v>
      </c>
      <c r="BA204" t="s">
        <v>74</v>
      </c>
      <c r="BB204">
        <v>2043</v>
      </c>
      <c r="BC204" t="s">
        <v>1059</v>
      </c>
      <c r="BD204" t="s">
        <v>74</v>
      </c>
      <c r="BE204" t="s">
        <v>3512</v>
      </c>
      <c r="BF204" t="str">
        <f>HYPERLINK("http://dx.doi.org/10.1016/j.asr.2005.02.103","http://dx.doi.org/10.1016/j.asr.2005.02.103")</f>
        <v>http://dx.doi.org/10.1016/j.asr.2005.02.103</v>
      </c>
      <c r="BG204" t="s">
        <v>74</v>
      </c>
      <c r="BH204" t="s">
        <v>74</v>
      </c>
      <c r="BI204">
        <v>2</v>
      </c>
      <c r="BJ204" t="s">
        <v>1439</v>
      </c>
      <c r="BK204" t="s">
        <v>356</v>
      </c>
      <c r="BL204" t="s">
        <v>1440</v>
      </c>
      <c r="BM204" t="s">
        <v>3513</v>
      </c>
      <c r="BN204" t="s">
        <v>74</v>
      </c>
      <c r="BO204" t="s">
        <v>74</v>
      </c>
      <c r="BP204" t="s">
        <v>74</v>
      </c>
      <c r="BQ204" t="s">
        <v>74</v>
      </c>
      <c r="BR204" t="s">
        <v>101</v>
      </c>
      <c r="BS204" t="s">
        <v>3514</v>
      </c>
      <c r="BT204" t="str">
        <f>HYPERLINK("https%3A%2F%2Fwww.webofscience.com%2Fwos%2Fwoscc%2Ffull-record%2FWOS:000240087500007","View Full Record in Web of Science")</f>
        <v>View Full Record in Web of Science</v>
      </c>
    </row>
    <row r="205" spans="1:72" x14ac:dyDescent="0.15">
      <c r="A205" t="s">
        <v>72</v>
      </c>
      <c r="B205" t="s">
        <v>3515</v>
      </c>
      <c r="C205" t="s">
        <v>74</v>
      </c>
      <c r="D205" t="s">
        <v>74</v>
      </c>
      <c r="E205" t="s">
        <v>74</v>
      </c>
      <c r="F205" t="s">
        <v>3516</v>
      </c>
      <c r="G205" t="s">
        <v>74</v>
      </c>
      <c r="H205" t="s">
        <v>74</v>
      </c>
      <c r="I205" t="s">
        <v>3517</v>
      </c>
      <c r="J205" t="s">
        <v>3518</v>
      </c>
      <c r="K205" t="s">
        <v>74</v>
      </c>
      <c r="L205" t="s">
        <v>74</v>
      </c>
      <c r="M205" t="s">
        <v>77</v>
      </c>
      <c r="N205" t="s">
        <v>78</v>
      </c>
      <c r="O205" t="s">
        <v>74</v>
      </c>
      <c r="P205" t="s">
        <v>74</v>
      </c>
      <c r="Q205" t="s">
        <v>74</v>
      </c>
      <c r="R205" t="s">
        <v>74</v>
      </c>
      <c r="S205" t="s">
        <v>74</v>
      </c>
      <c r="T205" t="s">
        <v>74</v>
      </c>
      <c r="U205" t="s">
        <v>3519</v>
      </c>
      <c r="V205" t="s">
        <v>3520</v>
      </c>
      <c r="W205" t="s">
        <v>3521</v>
      </c>
      <c r="X205" t="s">
        <v>3522</v>
      </c>
      <c r="Y205" t="s">
        <v>3523</v>
      </c>
      <c r="Z205" t="s">
        <v>3524</v>
      </c>
      <c r="AA205" t="s">
        <v>3525</v>
      </c>
      <c r="AB205" t="s">
        <v>3526</v>
      </c>
      <c r="AC205" t="s">
        <v>74</v>
      </c>
      <c r="AD205" t="s">
        <v>74</v>
      </c>
      <c r="AE205" t="s">
        <v>74</v>
      </c>
      <c r="AF205" t="s">
        <v>74</v>
      </c>
      <c r="AG205">
        <v>71</v>
      </c>
      <c r="AH205">
        <v>71</v>
      </c>
      <c r="AI205">
        <v>76</v>
      </c>
      <c r="AJ205">
        <v>0</v>
      </c>
      <c r="AK205">
        <v>8</v>
      </c>
      <c r="AL205" t="s">
        <v>431</v>
      </c>
      <c r="AM205" t="s">
        <v>432</v>
      </c>
      <c r="AN205" t="s">
        <v>433</v>
      </c>
      <c r="AO205" t="s">
        <v>3527</v>
      </c>
      <c r="AP205" t="s">
        <v>74</v>
      </c>
      <c r="AQ205" t="s">
        <v>74</v>
      </c>
      <c r="AR205" t="s">
        <v>3528</v>
      </c>
      <c r="AS205" t="s">
        <v>3529</v>
      </c>
      <c r="AT205" t="s">
        <v>74</v>
      </c>
      <c r="AU205">
        <v>2006</v>
      </c>
      <c r="AV205">
        <v>13</v>
      </c>
      <c r="AW205">
        <v>2</v>
      </c>
      <c r="AX205" t="s">
        <v>74</v>
      </c>
      <c r="AY205" t="s">
        <v>74</v>
      </c>
      <c r="AZ205" t="s">
        <v>74</v>
      </c>
      <c r="BA205" t="s">
        <v>74</v>
      </c>
      <c r="BB205">
        <v>185</v>
      </c>
      <c r="BC205">
        <v>203</v>
      </c>
      <c r="BD205" t="s">
        <v>74</v>
      </c>
      <c r="BE205" t="s">
        <v>3530</v>
      </c>
      <c r="BF205" t="str">
        <f>HYPERLINK("http://dx.doi.org/10.5194/npg-13-185-2006","http://dx.doi.org/10.5194/npg-13-185-2006")</f>
        <v>http://dx.doi.org/10.5194/npg-13-185-2006</v>
      </c>
      <c r="BG205" t="s">
        <v>74</v>
      </c>
      <c r="BH205" t="s">
        <v>74</v>
      </c>
      <c r="BI205">
        <v>19</v>
      </c>
      <c r="BJ205" t="s">
        <v>3531</v>
      </c>
      <c r="BK205" t="s">
        <v>98</v>
      </c>
      <c r="BL205" t="s">
        <v>3532</v>
      </c>
      <c r="BM205" t="s">
        <v>3533</v>
      </c>
      <c r="BN205" t="s">
        <v>74</v>
      </c>
      <c r="BO205" t="s">
        <v>3534</v>
      </c>
      <c r="BP205" t="s">
        <v>74</v>
      </c>
      <c r="BQ205" t="s">
        <v>74</v>
      </c>
      <c r="BR205" t="s">
        <v>101</v>
      </c>
      <c r="BS205" t="s">
        <v>3535</v>
      </c>
      <c r="BT205" t="str">
        <f>HYPERLINK("https%3A%2F%2Fwww.webofscience.com%2Fwos%2Fwoscc%2Ffull-record%2FWOS:000239730600008","View Full Record in Web of Science")</f>
        <v>View Full Record in Web of Science</v>
      </c>
    </row>
    <row r="206" spans="1:72" x14ac:dyDescent="0.15">
      <c r="A206" t="s">
        <v>72</v>
      </c>
      <c r="B206" t="s">
        <v>3536</v>
      </c>
      <c r="C206" t="s">
        <v>74</v>
      </c>
      <c r="D206" t="s">
        <v>74</v>
      </c>
      <c r="E206" t="s">
        <v>74</v>
      </c>
      <c r="F206" t="s">
        <v>3537</v>
      </c>
      <c r="G206" t="s">
        <v>74</v>
      </c>
      <c r="H206" t="s">
        <v>74</v>
      </c>
      <c r="I206" t="s">
        <v>3538</v>
      </c>
      <c r="J206" t="s">
        <v>3518</v>
      </c>
      <c r="K206" t="s">
        <v>74</v>
      </c>
      <c r="L206" t="s">
        <v>74</v>
      </c>
      <c r="M206" t="s">
        <v>77</v>
      </c>
      <c r="N206" t="s">
        <v>78</v>
      </c>
      <c r="O206" t="s">
        <v>74</v>
      </c>
      <c r="P206" t="s">
        <v>74</v>
      </c>
      <c r="Q206" t="s">
        <v>74</v>
      </c>
      <c r="R206" t="s">
        <v>74</v>
      </c>
      <c r="S206" t="s">
        <v>74</v>
      </c>
      <c r="T206" t="s">
        <v>74</v>
      </c>
      <c r="U206" t="s">
        <v>3539</v>
      </c>
      <c r="V206" t="s">
        <v>3540</v>
      </c>
      <c r="W206" t="s">
        <v>3541</v>
      </c>
      <c r="X206" t="s">
        <v>3542</v>
      </c>
      <c r="Y206" t="s">
        <v>3543</v>
      </c>
      <c r="Z206" t="s">
        <v>3544</v>
      </c>
      <c r="AA206" t="s">
        <v>3545</v>
      </c>
      <c r="AB206" t="s">
        <v>3546</v>
      </c>
      <c r="AC206" t="s">
        <v>74</v>
      </c>
      <c r="AD206" t="s">
        <v>74</v>
      </c>
      <c r="AE206" t="s">
        <v>74</v>
      </c>
      <c r="AF206" t="s">
        <v>74</v>
      </c>
      <c r="AG206">
        <v>46</v>
      </c>
      <c r="AH206">
        <v>12</v>
      </c>
      <c r="AI206">
        <v>13</v>
      </c>
      <c r="AJ206">
        <v>0</v>
      </c>
      <c r="AK206">
        <v>1</v>
      </c>
      <c r="AL206" t="s">
        <v>431</v>
      </c>
      <c r="AM206" t="s">
        <v>432</v>
      </c>
      <c r="AN206" t="s">
        <v>433</v>
      </c>
      <c r="AO206" t="s">
        <v>3527</v>
      </c>
      <c r="AP206" t="s">
        <v>3547</v>
      </c>
      <c r="AQ206" t="s">
        <v>74</v>
      </c>
      <c r="AR206" t="s">
        <v>3528</v>
      </c>
      <c r="AS206" t="s">
        <v>3529</v>
      </c>
      <c r="AT206" t="s">
        <v>74</v>
      </c>
      <c r="AU206">
        <v>2006</v>
      </c>
      <c r="AV206">
        <v>13</v>
      </c>
      <c r="AW206">
        <v>5</v>
      </c>
      <c r="AX206" t="s">
        <v>74</v>
      </c>
      <c r="AY206" t="s">
        <v>74</v>
      </c>
      <c r="AZ206" t="s">
        <v>74</v>
      </c>
      <c r="BA206" t="s">
        <v>74</v>
      </c>
      <c r="BB206">
        <v>485</v>
      </c>
      <c r="BC206">
        <v>497</v>
      </c>
      <c r="BD206" t="s">
        <v>74</v>
      </c>
      <c r="BE206" t="s">
        <v>3548</v>
      </c>
      <c r="BF206" t="str">
        <f>HYPERLINK("http://dx.doi.org/10.5194/npg-13-485-2006","http://dx.doi.org/10.5194/npg-13-485-2006")</f>
        <v>http://dx.doi.org/10.5194/npg-13-485-2006</v>
      </c>
      <c r="BG206" t="s">
        <v>74</v>
      </c>
      <c r="BH206" t="s">
        <v>74</v>
      </c>
      <c r="BI206">
        <v>13</v>
      </c>
      <c r="BJ206" t="s">
        <v>3531</v>
      </c>
      <c r="BK206" t="s">
        <v>98</v>
      </c>
      <c r="BL206" t="s">
        <v>3532</v>
      </c>
      <c r="BM206" t="s">
        <v>3549</v>
      </c>
      <c r="BN206" t="s">
        <v>74</v>
      </c>
      <c r="BO206" t="s">
        <v>450</v>
      </c>
      <c r="BP206" t="s">
        <v>74</v>
      </c>
      <c r="BQ206" t="s">
        <v>74</v>
      </c>
      <c r="BR206" t="s">
        <v>101</v>
      </c>
      <c r="BS206" t="s">
        <v>3550</v>
      </c>
      <c r="BT206" t="str">
        <f>HYPERLINK("https%3A%2F%2Fwww.webofscience.com%2Fwos%2Fwoscc%2Ffull-record%2FWOS:000242749200002","View Full Record in Web of Science")</f>
        <v>View Full Record in Web of Science</v>
      </c>
    </row>
    <row r="207" spans="1:72" x14ac:dyDescent="0.15">
      <c r="A207" t="s">
        <v>72</v>
      </c>
      <c r="B207" t="s">
        <v>3551</v>
      </c>
      <c r="C207" t="s">
        <v>74</v>
      </c>
      <c r="D207" t="s">
        <v>74</v>
      </c>
      <c r="E207" t="s">
        <v>74</v>
      </c>
      <c r="F207" t="s">
        <v>3552</v>
      </c>
      <c r="G207" t="s">
        <v>74</v>
      </c>
      <c r="H207" t="s">
        <v>74</v>
      </c>
      <c r="I207" t="s">
        <v>3553</v>
      </c>
      <c r="J207" t="s">
        <v>3554</v>
      </c>
      <c r="K207" t="s">
        <v>74</v>
      </c>
      <c r="L207" t="s">
        <v>74</v>
      </c>
      <c r="M207" t="s">
        <v>77</v>
      </c>
      <c r="N207" t="s">
        <v>78</v>
      </c>
      <c r="O207" t="s">
        <v>74</v>
      </c>
      <c r="P207" t="s">
        <v>74</v>
      </c>
      <c r="Q207" t="s">
        <v>74</v>
      </c>
      <c r="R207" t="s">
        <v>74</v>
      </c>
      <c r="S207" t="s">
        <v>74</v>
      </c>
      <c r="T207" t="s">
        <v>74</v>
      </c>
      <c r="U207" t="s">
        <v>3555</v>
      </c>
      <c r="V207" t="s">
        <v>3556</v>
      </c>
      <c r="W207" t="s">
        <v>3557</v>
      </c>
      <c r="X207" t="s">
        <v>3558</v>
      </c>
      <c r="Y207" t="s">
        <v>3559</v>
      </c>
      <c r="Z207" t="s">
        <v>3560</v>
      </c>
      <c r="AA207" t="s">
        <v>74</v>
      </c>
      <c r="AB207" t="s">
        <v>74</v>
      </c>
      <c r="AC207" t="s">
        <v>74</v>
      </c>
      <c r="AD207" t="s">
        <v>74</v>
      </c>
      <c r="AE207" t="s">
        <v>74</v>
      </c>
      <c r="AF207" t="s">
        <v>74</v>
      </c>
      <c r="AG207">
        <v>30</v>
      </c>
      <c r="AH207">
        <v>8</v>
      </c>
      <c r="AI207">
        <v>9</v>
      </c>
      <c r="AJ207">
        <v>0</v>
      </c>
      <c r="AK207">
        <v>5</v>
      </c>
      <c r="AL207" t="s">
        <v>3263</v>
      </c>
      <c r="AM207" t="s">
        <v>1980</v>
      </c>
      <c r="AN207" t="s">
        <v>3264</v>
      </c>
      <c r="AO207" t="s">
        <v>3561</v>
      </c>
      <c r="AP207" t="s">
        <v>74</v>
      </c>
      <c r="AQ207" t="s">
        <v>74</v>
      </c>
      <c r="AR207" t="s">
        <v>3554</v>
      </c>
      <c r="AS207" t="s">
        <v>3562</v>
      </c>
      <c r="AT207" t="s">
        <v>74</v>
      </c>
      <c r="AU207">
        <v>2006</v>
      </c>
      <c r="AV207" t="s">
        <v>74</v>
      </c>
      <c r="AW207" t="s">
        <v>74</v>
      </c>
      <c r="AX207" t="s">
        <v>74</v>
      </c>
      <c r="AY207">
        <v>130</v>
      </c>
      <c r="AZ207" t="s">
        <v>74</v>
      </c>
      <c r="BA207" t="s">
        <v>74</v>
      </c>
      <c r="BB207">
        <v>1</v>
      </c>
      <c r="BC207">
        <v>15</v>
      </c>
      <c r="BD207" t="s">
        <v>74</v>
      </c>
      <c r="BE207" t="s">
        <v>74</v>
      </c>
      <c r="BF207" t="s">
        <v>74</v>
      </c>
      <c r="BG207" t="s">
        <v>74</v>
      </c>
      <c r="BH207" t="s">
        <v>74</v>
      </c>
      <c r="BI207">
        <v>15</v>
      </c>
      <c r="BJ207" t="s">
        <v>574</v>
      </c>
      <c r="BK207" t="s">
        <v>98</v>
      </c>
      <c r="BL207" t="s">
        <v>574</v>
      </c>
      <c r="BM207" t="s">
        <v>3563</v>
      </c>
      <c r="BN207" t="s">
        <v>74</v>
      </c>
      <c r="BO207" t="s">
        <v>74</v>
      </c>
      <c r="BP207" t="s">
        <v>74</v>
      </c>
      <c r="BQ207" t="s">
        <v>74</v>
      </c>
      <c r="BR207" t="s">
        <v>101</v>
      </c>
      <c r="BS207" t="s">
        <v>3564</v>
      </c>
      <c r="BT207" t="str">
        <f>HYPERLINK("https%3A%2F%2Fwww.webofscience.com%2Fwos%2Fwoscc%2Ffull-record%2FWOS:000239016300002","View Full Record in Web of Science")</f>
        <v>View Full Record in Web of Science</v>
      </c>
    </row>
    <row r="208" spans="1:72" x14ac:dyDescent="0.15">
      <c r="A208" t="s">
        <v>72</v>
      </c>
      <c r="B208" t="s">
        <v>3565</v>
      </c>
      <c r="C208" t="s">
        <v>74</v>
      </c>
      <c r="D208" t="s">
        <v>74</v>
      </c>
      <c r="E208" t="s">
        <v>74</v>
      </c>
      <c r="F208" t="s">
        <v>3566</v>
      </c>
      <c r="G208" t="s">
        <v>74</v>
      </c>
      <c r="H208" t="s">
        <v>74</v>
      </c>
      <c r="I208" t="s">
        <v>3567</v>
      </c>
      <c r="J208" t="s">
        <v>3554</v>
      </c>
      <c r="K208" t="s">
        <v>74</v>
      </c>
      <c r="L208" t="s">
        <v>74</v>
      </c>
      <c r="M208" t="s">
        <v>77</v>
      </c>
      <c r="N208" t="s">
        <v>78</v>
      </c>
      <c r="O208" t="s">
        <v>74</v>
      </c>
      <c r="P208" t="s">
        <v>74</v>
      </c>
      <c r="Q208" t="s">
        <v>74</v>
      </c>
      <c r="R208" t="s">
        <v>74</v>
      </c>
      <c r="S208" t="s">
        <v>74</v>
      </c>
      <c r="T208" t="s">
        <v>74</v>
      </c>
      <c r="U208" t="s">
        <v>3568</v>
      </c>
      <c r="V208" t="s">
        <v>3569</v>
      </c>
      <c r="W208" t="s">
        <v>3570</v>
      </c>
      <c r="X208" t="s">
        <v>3571</v>
      </c>
      <c r="Y208" t="s">
        <v>3572</v>
      </c>
      <c r="Z208" t="s">
        <v>3573</v>
      </c>
      <c r="AA208" t="s">
        <v>74</v>
      </c>
      <c r="AB208" t="s">
        <v>74</v>
      </c>
      <c r="AC208" t="s">
        <v>74</v>
      </c>
      <c r="AD208" t="s">
        <v>74</v>
      </c>
      <c r="AE208" t="s">
        <v>74</v>
      </c>
      <c r="AF208" t="s">
        <v>74</v>
      </c>
      <c r="AG208">
        <v>31</v>
      </c>
      <c r="AH208">
        <v>5</v>
      </c>
      <c r="AI208">
        <v>6</v>
      </c>
      <c r="AJ208">
        <v>0</v>
      </c>
      <c r="AK208">
        <v>2</v>
      </c>
      <c r="AL208" t="s">
        <v>3263</v>
      </c>
      <c r="AM208" t="s">
        <v>1980</v>
      </c>
      <c r="AN208" t="s">
        <v>3264</v>
      </c>
      <c r="AO208" t="s">
        <v>3561</v>
      </c>
      <c r="AP208" t="s">
        <v>74</v>
      </c>
      <c r="AQ208" t="s">
        <v>74</v>
      </c>
      <c r="AR208" t="s">
        <v>3554</v>
      </c>
      <c r="AS208" t="s">
        <v>3562</v>
      </c>
      <c r="AT208" t="s">
        <v>74</v>
      </c>
      <c r="AU208">
        <v>2006</v>
      </c>
      <c r="AV208" t="s">
        <v>74</v>
      </c>
      <c r="AW208" t="s">
        <v>74</v>
      </c>
      <c r="AX208" t="s">
        <v>74</v>
      </c>
      <c r="AY208">
        <v>130</v>
      </c>
      <c r="AZ208" t="s">
        <v>74</v>
      </c>
      <c r="BA208" t="s">
        <v>74</v>
      </c>
      <c r="BB208">
        <v>201</v>
      </c>
      <c r="BC208">
        <v>212</v>
      </c>
      <c r="BD208" t="s">
        <v>74</v>
      </c>
      <c r="BE208" t="s">
        <v>74</v>
      </c>
      <c r="BF208" t="s">
        <v>74</v>
      </c>
      <c r="BG208" t="s">
        <v>74</v>
      </c>
      <c r="BH208" t="s">
        <v>74</v>
      </c>
      <c r="BI208">
        <v>12</v>
      </c>
      <c r="BJ208" t="s">
        <v>574</v>
      </c>
      <c r="BK208" t="s">
        <v>98</v>
      </c>
      <c r="BL208" t="s">
        <v>574</v>
      </c>
      <c r="BM208" t="s">
        <v>3563</v>
      </c>
      <c r="BN208" t="s">
        <v>74</v>
      </c>
      <c r="BO208" t="s">
        <v>74</v>
      </c>
      <c r="BP208" t="s">
        <v>74</v>
      </c>
      <c r="BQ208" t="s">
        <v>74</v>
      </c>
      <c r="BR208" t="s">
        <v>101</v>
      </c>
      <c r="BS208" t="s">
        <v>3574</v>
      </c>
      <c r="BT208" t="str">
        <f>HYPERLINK("https%3A%2F%2Fwww.webofscience.com%2Fwos%2Fwoscc%2Ffull-record%2FWOS:000239016300015","View Full Record in Web of Science")</f>
        <v>View Full Record in Web of Science</v>
      </c>
    </row>
    <row r="209" spans="1:72" x14ac:dyDescent="0.15">
      <c r="A209" t="s">
        <v>72</v>
      </c>
      <c r="B209" t="s">
        <v>3575</v>
      </c>
      <c r="C209" t="s">
        <v>74</v>
      </c>
      <c r="D209" t="s">
        <v>74</v>
      </c>
      <c r="E209" t="s">
        <v>74</v>
      </c>
      <c r="F209" t="s">
        <v>3575</v>
      </c>
      <c r="G209" t="s">
        <v>74</v>
      </c>
      <c r="H209" t="s">
        <v>3576</v>
      </c>
      <c r="I209" t="s">
        <v>3577</v>
      </c>
      <c r="J209" t="s">
        <v>3578</v>
      </c>
      <c r="K209" t="s">
        <v>74</v>
      </c>
      <c r="L209" t="s">
        <v>74</v>
      </c>
      <c r="M209" t="s">
        <v>77</v>
      </c>
      <c r="N209" t="s">
        <v>78</v>
      </c>
      <c r="O209" t="s">
        <v>74</v>
      </c>
      <c r="P209" t="s">
        <v>74</v>
      </c>
      <c r="Q209" t="s">
        <v>74</v>
      </c>
      <c r="R209" t="s">
        <v>74</v>
      </c>
      <c r="S209" t="s">
        <v>74</v>
      </c>
      <c r="T209" t="s">
        <v>3579</v>
      </c>
      <c r="U209" t="s">
        <v>3580</v>
      </c>
      <c r="V209" t="s">
        <v>3581</v>
      </c>
      <c r="W209" t="s">
        <v>3582</v>
      </c>
      <c r="X209" t="s">
        <v>3583</v>
      </c>
      <c r="Y209" t="s">
        <v>3584</v>
      </c>
      <c r="Z209" t="s">
        <v>3585</v>
      </c>
      <c r="AA209" t="s">
        <v>3586</v>
      </c>
      <c r="AB209" t="s">
        <v>3587</v>
      </c>
      <c r="AC209" t="s">
        <v>74</v>
      </c>
      <c r="AD209" t="s">
        <v>74</v>
      </c>
      <c r="AE209" t="s">
        <v>74</v>
      </c>
      <c r="AF209" t="s">
        <v>74</v>
      </c>
      <c r="AG209">
        <v>19</v>
      </c>
      <c r="AH209">
        <v>17</v>
      </c>
      <c r="AI209">
        <v>18</v>
      </c>
      <c r="AJ209">
        <v>0</v>
      </c>
      <c r="AK209">
        <v>2</v>
      </c>
      <c r="AL209" t="s">
        <v>3283</v>
      </c>
      <c r="AM209" t="s">
        <v>1148</v>
      </c>
      <c r="AN209" t="s">
        <v>3284</v>
      </c>
      <c r="AO209" t="s">
        <v>3588</v>
      </c>
      <c r="AP209" t="s">
        <v>3589</v>
      </c>
      <c r="AQ209" t="s">
        <v>74</v>
      </c>
      <c r="AR209" t="s">
        <v>3590</v>
      </c>
      <c r="AS209" t="s">
        <v>3591</v>
      </c>
      <c r="AT209" t="s">
        <v>1485</v>
      </c>
      <c r="AU209">
        <v>2006</v>
      </c>
      <c r="AV209">
        <v>556</v>
      </c>
      <c r="AW209">
        <v>1</v>
      </c>
      <c r="AX209" t="s">
        <v>74</v>
      </c>
      <c r="AY209" t="s">
        <v>74</v>
      </c>
      <c r="AZ209" t="s">
        <v>74</v>
      </c>
      <c r="BA209" t="s">
        <v>74</v>
      </c>
      <c r="BB209">
        <v>169</v>
      </c>
      <c r="BC209">
        <v>181</v>
      </c>
      <c r="BD209" t="s">
        <v>74</v>
      </c>
      <c r="BE209" t="s">
        <v>3592</v>
      </c>
      <c r="BF209" t="str">
        <f>HYPERLINK("http://dx.doi.org/10.1016/j.nima.2005.10.029","http://dx.doi.org/10.1016/j.nima.2005.10.029")</f>
        <v>http://dx.doi.org/10.1016/j.nima.2005.10.029</v>
      </c>
      <c r="BG209" t="s">
        <v>74</v>
      </c>
      <c r="BH209" t="s">
        <v>74</v>
      </c>
      <c r="BI209">
        <v>13</v>
      </c>
      <c r="BJ209" t="s">
        <v>3593</v>
      </c>
      <c r="BK209" t="s">
        <v>98</v>
      </c>
      <c r="BL209" t="s">
        <v>3594</v>
      </c>
      <c r="BM209" t="s">
        <v>3595</v>
      </c>
      <c r="BN209" t="s">
        <v>74</v>
      </c>
      <c r="BO209" t="s">
        <v>534</v>
      </c>
      <c r="BP209" t="s">
        <v>74</v>
      </c>
      <c r="BQ209" t="s">
        <v>74</v>
      </c>
      <c r="BR209" t="s">
        <v>101</v>
      </c>
      <c r="BS209" t="s">
        <v>3596</v>
      </c>
      <c r="BT209" t="str">
        <f>HYPERLINK("https%3A%2F%2Fwww.webofscience.com%2Fwos%2Fwoscc%2Ffull-record%2FWOS:000234695300021","View Full Record in Web of Science")</f>
        <v>View Full Record in Web of Science</v>
      </c>
    </row>
    <row r="210" spans="1:72" x14ac:dyDescent="0.15">
      <c r="A210" t="s">
        <v>72</v>
      </c>
      <c r="B210" t="s">
        <v>3597</v>
      </c>
      <c r="C210" t="s">
        <v>74</v>
      </c>
      <c r="D210" t="s">
        <v>74</v>
      </c>
      <c r="E210" t="s">
        <v>74</v>
      </c>
      <c r="F210" t="s">
        <v>3598</v>
      </c>
      <c r="G210" t="s">
        <v>74</v>
      </c>
      <c r="H210" t="s">
        <v>74</v>
      </c>
      <c r="I210" t="s">
        <v>3599</v>
      </c>
      <c r="J210" t="s">
        <v>3600</v>
      </c>
      <c r="K210" t="s">
        <v>74</v>
      </c>
      <c r="L210" t="s">
        <v>74</v>
      </c>
      <c r="M210" t="s">
        <v>77</v>
      </c>
      <c r="N210" t="s">
        <v>78</v>
      </c>
      <c r="O210" t="s">
        <v>74</v>
      </c>
      <c r="P210" t="s">
        <v>74</v>
      </c>
      <c r="Q210" t="s">
        <v>74</v>
      </c>
      <c r="R210" t="s">
        <v>74</v>
      </c>
      <c r="S210" t="s">
        <v>74</v>
      </c>
      <c r="T210" t="s">
        <v>3601</v>
      </c>
      <c r="U210" t="s">
        <v>3602</v>
      </c>
      <c r="V210" t="s">
        <v>3603</v>
      </c>
      <c r="W210" t="s">
        <v>3604</v>
      </c>
      <c r="X210" t="s">
        <v>3605</v>
      </c>
      <c r="Y210" t="s">
        <v>3606</v>
      </c>
      <c r="Z210" t="s">
        <v>3607</v>
      </c>
      <c r="AA210" t="s">
        <v>3608</v>
      </c>
      <c r="AB210" t="s">
        <v>3609</v>
      </c>
      <c r="AC210" t="s">
        <v>74</v>
      </c>
      <c r="AD210" t="s">
        <v>74</v>
      </c>
      <c r="AE210" t="s">
        <v>74</v>
      </c>
      <c r="AF210" t="s">
        <v>74</v>
      </c>
      <c r="AG210">
        <v>23</v>
      </c>
      <c r="AH210">
        <v>14</v>
      </c>
      <c r="AI210">
        <v>17</v>
      </c>
      <c r="AJ210">
        <v>0</v>
      </c>
      <c r="AK210">
        <v>7</v>
      </c>
      <c r="AL210" t="s">
        <v>139</v>
      </c>
      <c r="AM210" t="s">
        <v>140</v>
      </c>
      <c r="AN210" t="s">
        <v>141</v>
      </c>
      <c r="AO210" t="s">
        <v>3610</v>
      </c>
      <c r="AP210" t="s">
        <v>74</v>
      </c>
      <c r="AQ210" t="s">
        <v>74</v>
      </c>
      <c r="AR210" t="s">
        <v>3611</v>
      </c>
      <c r="AS210" t="s">
        <v>3612</v>
      </c>
      <c r="AT210" t="s">
        <v>74</v>
      </c>
      <c r="AU210">
        <v>2006</v>
      </c>
      <c r="AV210">
        <v>15</v>
      </c>
      <c r="AW210" t="s">
        <v>530</v>
      </c>
      <c r="AX210" t="s">
        <v>74</v>
      </c>
      <c r="AY210" t="s">
        <v>74</v>
      </c>
      <c r="AZ210" t="s">
        <v>74</v>
      </c>
      <c r="BA210" t="s">
        <v>74</v>
      </c>
      <c r="BB210">
        <v>141</v>
      </c>
      <c r="BC210">
        <v>156</v>
      </c>
      <c r="BD210" t="s">
        <v>74</v>
      </c>
      <c r="BE210" t="s">
        <v>3613</v>
      </c>
      <c r="BF210" t="str">
        <f>HYPERLINK("http://dx.doi.org/10.1016/j.ocemod.2006.01.002","http://dx.doi.org/10.1016/j.ocemod.2006.01.002")</f>
        <v>http://dx.doi.org/10.1016/j.ocemod.2006.01.002</v>
      </c>
      <c r="BG210" t="s">
        <v>74</v>
      </c>
      <c r="BH210" t="s">
        <v>74</v>
      </c>
      <c r="BI210">
        <v>16</v>
      </c>
      <c r="BJ210" t="s">
        <v>3614</v>
      </c>
      <c r="BK210" t="s">
        <v>98</v>
      </c>
      <c r="BL210" t="s">
        <v>3614</v>
      </c>
      <c r="BM210" t="s">
        <v>3615</v>
      </c>
      <c r="BN210" t="s">
        <v>74</v>
      </c>
      <c r="BO210" t="s">
        <v>74</v>
      </c>
      <c r="BP210" t="s">
        <v>74</v>
      </c>
      <c r="BQ210" t="s">
        <v>74</v>
      </c>
      <c r="BR210" t="s">
        <v>101</v>
      </c>
      <c r="BS210" t="s">
        <v>3616</v>
      </c>
      <c r="BT210" t="str">
        <f>HYPERLINK("https%3A%2F%2Fwww.webofscience.com%2Fwos%2Fwoscc%2Ffull-record%2FWOS:000242740800002","View Full Record in Web of Science")</f>
        <v>View Full Record in Web of Science</v>
      </c>
    </row>
    <row r="211" spans="1:72" x14ac:dyDescent="0.15">
      <c r="A211" t="s">
        <v>72</v>
      </c>
      <c r="B211" t="s">
        <v>3617</v>
      </c>
      <c r="C211" t="s">
        <v>74</v>
      </c>
      <c r="D211" t="s">
        <v>74</v>
      </c>
      <c r="E211" t="s">
        <v>74</v>
      </c>
      <c r="F211" t="s">
        <v>3618</v>
      </c>
      <c r="G211" t="s">
        <v>74</v>
      </c>
      <c r="H211" t="s">
        <v>74</v>
      </c>
      <c r="I211" t="s">
        <v>3619</v>
      </c>
      <c r="J211" t="s">
        <v>3600</v>
      </c>
      <c r="K211" t="s">
        <v>74</v>
      </c>
      <c r="L211" t="s">
        <v>74</v>
      </c>
      <c r="M211" t="s">
        <v>77</v>
      </c>
      <c r="N211" t="s">
        <v>78</v>
      </c>
      <c r="O211" t="s">
        <v>74</v>
      </c>
      <c r="P211" t="s">
        <v>74</v>
      </c>
      <c r="Q211" t="s">
        <v>74</v>
      </c>
      <c r="R211" t="s">
        <v>74</v>
      </c>
      <c r="S211" t="s">
        <v>74</v>
      </c>
      <c r="T211" t="s">
        <v>74</v>
      </c>
      <c r="U211" t="s">
        <v>3620</v>
      </c>
      <c r="V211" t="s">
        <v>3621</v>
      </c>
      <c r="W211" t="s">
        <v>3622</v>
      </c>
      <c r="X211" t="s">
        <v>3623</v>
      </c>
      <c r="Y211" t="s">
        <v>3624</v>
      </c>
      <c r="Z211" t="s">
        <v>3625</v>
      </c>
      <c r="AA211" t="s">
        <v>3626</v>
      </c>
      <c r="AB211" t="s">
        <v>3627</v>
      </c>
      <c r="AC211" t="s">
        <v>74</v>
      </c>
      <c r="AD211" t="s">
        <v>74</v>
      </c>
      <c r="AE211" t="s">
        <v>74</v>
      </c>
      <c r="AF211" t="s">
        <v>74</v>
      </c>
      <c r="AG211">
        <v>39</v>
      </c>
      <c r="AH211">
        <v>9</v>
      </c>
      <c r="AI211">
        <v>9</v>
      </c>
      <c r="AJ211">
        <v>0</v>
      </c>
      <c r="AK211">
        <v>6</v>
      </c>
      <c r="AL211" t="s">
        <v>139</v>
      </c>
      <c r="AM211" t="s">
        <v>140</v>
      </c>
      <c r="AN211" t="s">
        <v>141</v>
      </c>
      <c r="AO211" t="s">
        <v>3610</v>
      </c>
      <c r="AP211" t="s">
        <v>3628</v>
      </c>
      <c r="AQ211" t="s">
        <v>74</v>
      </c>
      <c r="AR211" t="s">
        <v>3611</v>
      </c>
      <c r="AS211" t="s">
        <v>3612</v>
      </c>
      <c r="AT211" t="s">
        <v>74</v>
      </c>
      <c r="AU211">
        <v>2006</v>
      </c>
      <c r="AV211">
        <v>15</v>
      </c>
      <c r="AW211" t="s">
        <v>530</v>
      </c>
      <c r="AX211" t="s">
        <v>74</v>
      </c>
      <c r="AY211" t="s">
        <v>74</v>
      </c>
      <c r="AZ211" t="s">
        <v>74</v>
      </c>
      <c r="BA211" t="s">
        <v>74</v>
      </c>
      <c r="BB211">
        <v>177</v>
      </c>
      <c r="BC211">
        <v>199</v>
      </c>
      <c r="BD211" t="s">
        <v>74</v>
      </c>
      <c r="BE211" t="s">
        <v>3629</v>
      </c>
      <c r="BF211" t="str">
        <f>HYPERLINK("http://dx.doi.org/10.1016/j.ocemod.2006.05.002","http://dx.doi.org/10.1016/j.ocemod.2006.05.002")</f>
        <v>http://dx.doi.org/10.1016/j.ocemod.2006.05.002</v>
      </c>
      <c r="BG211" t="s">
        <v>74</v>
      </c>
      <c r="BH211" t="s">
        <v>74</v>
      </c>
      <c r="BI211">
        <v>23</v>
      </c>
      <c r="BJ211" t="s">
        <v>3614</v>
      </c>
      <c r="BK211" t="s">
        <v>98</v>
      </c>
      <c r="BL211" t="s">
        <v>3614</v>
      </c>
      <c r="BM211" t="s">
        <v>3615</v>
      </c>
      <c r="BN211" t="s">
        <v>74</v>
      </c>
      <c r="BO211" t="s">
        <v>74</v>
      </c>
      <c r="BP211" t="s">
        <v>74</v>
      </c>
      <c r="BQ211" t="s">
        <v>74</v>
      </c>
      <c r="BR211" t="s">
        <v>101</v>
      </c>
      <c r="BS211" t="s">
        <v>3630</v>
      </c>
      <c r="BT211" t="str">
        <f>HYPERLINK("https%3A%2F%2Fwww.webofscience.com%2Fwos%2Fwoscc%2Ffull-record%2FWOS:000242740800004","View Full Record in Web of Science")</f>
        <v>View Full Record in Web of Science</v>
      </c>
    </row>
    <row r="212" spans="1:72" x14ac:dyDescent="0.15">
      <c r="A212" t="s">
        <v>72</v>
      </c>
      <c r="B212" t="s">
        <v>3631</v>
      </c>
      <c r="C212" t="s">
        <v>74</v>
      </c>
      <c r="D212" t="s">
        <v>74</v>
      </c>
      <c r="E212" t="s">
        <v>74</v>
      </c>
      <c r="F212" t="s">
        <v>3632</v>
      </c>
      <c r="G212" t="s">
        <v>74</v>
      </c>
      <c r="H212" t="s">
        <v>74</v>
      </c>
      <c r="I212" t="s">
        <v>3633</v>
      </c>
      <c r="J212" t="s">
        <v>3600</v>
      </c>
      <c r="K212" t="s">
        <v>74</v>
      </c>
      <c r="L212" t="s">
        <v>74</v>
      </c>
      <c r="M212" t="s">
        <v>77</v>
      </c>
      <c r="N212" t="s">
        <v>78</v>
      </c>
      <c r="O212" t="s">
        <v>74</v>
      </c>
      <c r="P212" t="s">
        <v>74</v>
      </c>
      <c r="Q212" t="s">
        <v>74</v>
      </c>
      <c r="R212" t="s">
        <v>74</v>
      </c>
      <c r="S212" t="s">
        <v>74</v>
      </c>
      <c r="T212" t="s">
        <v>3634</v>
      </c>
      <c r="U212" t="s">
        <v>3635</v>
      </c>
      <c r="V212" t="s">
        <v>3636</v>
      </c>
      <c r="W212" t="s">
        <v>3637</v>
      </c>
      <c r="X212" t="s">
        <v>3638</v>
      </c>
      <c r="Y212" t="s">
        <v>3639</v>
      </c>
      <c r="Z212" t="s">
        <v>3640</v>
      </c>
      <c r="AA212" t="s">
        <v>3641</v>
      </c>
      <c r="AB212" t="s">
        <v>74</v>
      </c>
      <c r="AC212" t="s">
        <v>74</v>
      </c>
      <c r="AD212" t="s">
        <v>74</v>
      </c>
      <c r="AE212" t="s">
        <v>74</v>
      </c>
      <c r="AF212" t="s">
        <v>74</v>
      </c>
      <c r="AG212">
        <v>44</v>
      </c>
      <c r="AH212">
        <v>33</v>
      </c>
      <c r="AI212">
        <v>37</v>
      </c>
      <c r="AJ212">
        <v>1</v>
      </c>
      <c r="AK212">
        <v>14</v>
      </c>
      <c r="AL212" t="s">
        <v>139</v>
      </c>
      <c r="AM212" t="s">
        <v>140</v>
      </c>
      <c r="AN212" t="s">
        <v>141</v>
      </c>
      <c r="AO212" t="s">
        <v>3610</v>
      </c>
      <c r="AP212" t="s">
        <v>3628</v>
      </c>
      <c r="AQ212" t="s">
        <v>74</v>
      </c>
      <c r="AR212" t="s">
        <v>3611</v>
      </c>
      <c r="AS212" t="s">
        <v>3612</v>
      </c>
      <c r="AT212" t="s">
        <v>74</v>
      </c>
      <c r="AU212">
        <v>2006</v>
      </c>
      <c r="AV212">
        <v>14</v>
      </c>
      <c r="AW212" t="s">
        <v>485</v>
      </c>
      <c r="AX212" t="s">
        <v>74</v>
      </c>
      <c r="AY212" t="s">
        <v>74</v>
      </c>
      <c r="AZ212" t="s">
        <v>74</v>
      </c>
      <c r="BA212" t="s">
        <v>74</v>
      </c>
      <c r="BB212">
        <v>61</v>
      </c>
      <c r="BC212">
        <v>80</v>
      </c>
      <c r="BD212" t="s">
        <v>74</v>
      </c>
      <c r="BE212" t="s">
        <v>3642</v>
      </c>
      <c r="BF212" t="str">
        <f>HYPERLINK("http://dx.doi.org/10.1016/j.ocemod.2006.03.003","http://dx.doi.org/10.1016/j.ocemod.2006.03.003")</f>
        <v>http://dx.doi.org/10.1016/j.ocemod.2006.03.003</v>
      </c>
      <c r="BG212" t="s">
        <v>74</v>
      </c>
      <c r="BH212" t="s">
        <v>74</v>
      </c>
      <c r="BI212">
        <v>20</v>
      </c>
      <c r="BJ212" t="s">
        <v>3614</v>
      </c>
      <c r="BK212" t="s">
        <v>98</v>
      </c>
      <c r="BL212" t="s">
        <v>3614</v>
      </c>
      <c r="BM212" t="s">
        <v>3643</v>
      </c>
      <c r="BN212" t="s">
        <v>74</v>
      </c>
      <c r="BO212" t="s">
        <v>74</v>
      </c>
      <c r="BP212" t="s">
        <v>74</v>
      </c>
      <c r="BQ212" t="s">
        <v>74</v>
      </c>
      <c r="BR212" t="s">
        <v>101</v>
      </c>
      <c r="BS212" t="s">
        <v>3644</v>
      </c>
      <c r="BT212" t="str">
        <f>HYPERLINK("https%3A%2F%2Fwww.webofscience.com%2Fwos%2Fwoscc%2Ffull-record%2FWOS:000239329000004","View Full Record in Web of Science")</f>
        <v>View Full Record in Web of Science</v>
      </c>
    </row>
    <row r="213" spans="1:72" x14ac:dyDescent="0.15">
      <c r="A213" t="s">
        <v>72</v>
      </c>
      <c r="B213" t="s">
        <v>3645</v>
      </c>
      <c r="C213" t="s">
        <v>74</v>
      </c>
      <c r="D213" t="s">
        <v>74</v>
      </c>
      <c r="E213" t="s">
        <v>74</v>
      </c>
      <c r="F213" t="s">
        <v>3645</v>
      </c>
      <c r="G213" t="s">
        <v>74</v>
      </c>
      <c r="H213" t="s">
        <v>74</v>
      </c>
      <c r="I213" t="s">
        <v>3646</v>
      </c>
      <c r="J213" t="s">
        <v>3600</v>
      </c>
      <c r="K213" t="s">
        <v>74</v>
      </c>
      <c r="L213" t="s">
        <v>74</v>
      </c>
      <c r="M213" t="s">
        <v>77</v>
      </c>
      <c r="N213" t="s">
        <v>78</v>
      </c>
      <c r="O213" t="s">
        <v>74</v>
      </c>
      <c r="P213" t="s">
        <v>74</v>
      </c>
      <c r="Q213" t="s">
        <v>74</v>
      </c>
      <c r="R213" t="s">
        <v>74</v>
      </c>
      <c r="S213" t="s">
        <v>74</v>
      </c>
      <c r="T213" t="s">
        <v>3647</v>
      </c>
      <c r="U213" t="s">
        <v>3648</v>
      </c>
      <c r="V213" t="s">
        <v>3649</v>
      </c>
      <c r="W213" t="s">
        <v>3650</v>
      </c>
      <c r="X213" t="s">
        <v>3651</v>
      </c>
      <c r="Y213" t="s">
        <v>3652</v>
      </c>
      <c r="Z213" t="s">
        <v>3653</v>
      </c>
      <c r="AA213" t="s">
        <v>3654</v>
      </c>
      <c r="AB213" t="s">
        <v>3655</v>
      </c>
      <c r="AC213" t="s">
        <v>74</v>
      </c>
      <c r="AD213" t="s">
        <v>74</v>
      </c>
      <c r="AE213" t="s">
        <v>74</v>
      </c>
      <c r="AF213" t="s">
        <v>74</v>
      </c>
      <c r="AG213">
        <v>20</v>
      </c>
      <c r="AH213">
        <v>5</v>
      </c>
      <c r="AI213">
        <v>8</v>
      </c>
      <c r="AJ213">
        <v>0</v>
      </c>
      <c r="AK213">
        <v>3</v>
      </c>
      <c r="AL213" t="s">
        <v>139</v>
      </c>
      <c r="AM213" t="s">
        <v>140</v>
      </c>
      <c r="AN213" t="s">
        <v>141</v>
      </c>
      <c r="AO213" t="s">
        <v>3610</v>
      </c>
      <c r="AP213" t="s">
        <v>3628</v>
      </c>
      <c r="AQ213" t="s">
        <v>74</v>
      </c>
      <c r="AR213" t="s">
        <v>3611</v>
      </c>
      <c r="AS213" t="s">
        <v>3612</v>
      </c>
      <c r="AT213" t="s">
        <v>74</v>
      </c>
      <c r="AU213">
        <v>2006</v>
      </c>
      <c r="AV213">
        <v>12</v>
      </c>
      <c r="AW213" t="s">
        <v>485</v>
      </c>
      <c r="AX213" t="s">
        <v>74</v>
      </c>
      <c r="AY213" t="s">
        <v>74</v>
      </c>
      <c r="AZ213" t="s">
        <v>74</v>
      </c>
      <c r="BA213" t="s">
        <v>74</v>
      </c>
      <c r="BB213">
        <v>16</v>
      </c>
      <c r="BC213">
        <v>31</v>
      </c>
      <c r="BD213" t="s">
        <v>74</v>
      </c>
      <c r="BE213" t="s">
        <v>3656</v>
      </c>
      <c r="BF213" t="str">
        <f>HYPERLINK("http://dx.doi.org/10.1016/j.ocemod.2005.03.004","http://dx.doi.org/10.1016/j.ocemod.2005.03.004")</f>
        <v>http://dx.doi.org/10.1016/j.ocemod.2005.03.004</v>
      </c>
      <c r="BG213" t="s">
        <v>74</v>
      </c>
      <c r="BH213" t="s">
        <v>74</v>
      </c>
      <c r="BI213">
        <v>16</v>
      </c>
      <c r="BJ213" t="s">
        <v>3614</v>
      </c>
      <c r="BK213" t="s">
        <v>98</v>
      </c>
      <c r="BL213" t="s">
        <v>3614</v>
      </c>
      <c r="BM213" t="s">
        <v>3657</v>
      </c>
      <c r="BN213" t="s">
        <v>74</v>
      </c>
      <c r="BO213" t="s">
        <v>74</v>
      </c>
      <c r="BP213" t="s">
        <v>74</v>
      </c>
      <c r="BQ213" t="s">
        <v>74</v>
      </c>
      <c r="BR213" t="s">
        <v>101</v>
      </c>
      <c r="BS213" t="s">
        <v>3658</v>
      </c>
      <c r="BT213" t="str">
        <f>HYPERLINK("https%3A%2F%2Fwww.webofscience.com%2Fwos%2Fwoscc%2Ffull-record%2FWOS:000234782800002","View Full Record in Web of Science")</f>
        <v>View Full Record in Web of Science</v>
      </c>
    </row>
    <row r="214" spans="1:72" x14ac:dyDescent="0.15">
      <c r="A214" t="s">
        <v>72</v>
      </c>
      <c r="B214" t="s">
        <v>3659</v>
      </c>
      <c r="C214" t="s">
        <v>74</v>
      </c>
      <c r="D214" t="s">
        <v>74</v>
      </c>
      <c r="E214" t="s">
        <v>74</v>
      </c>
      <c r="F214" t="s">
        <v>3659</v>
      </c>
      <c r="G214" t="s">
        <v>74</v>
      </c>
      <c r="H214" t="s">
        <v>74</v>
      </c>
      <c r="I214" t="s">
        <v>3660</v>
      </c>
      <c r="J214" t="s">
        <v>3600</v>
      </c>
      <c r="K214" t="s">
        <v>74</v>
      </c>
      <c r="L214" t="s">
        <v>74</v>
      </c>
      <c r="M214" t="s">
        <v>77</v>
      </c>
      <c r="N214" t="s">
        <v>78</v>
      </c>
      <c r="O214" t="s">
        <v>74</v>
      </c>
      <c r="P214" t="s">
        <v>74</v>
      </c>
      <c r="Q214" t="s">
        <v>74</v>
      </c>
      <c r="R214" t="s">
        <v>74</v>
      </c>
      <c r="S214" t="s">
        <v>74</v>
      </c>
      <c r="T214" t="s">
        <v>74</v>
      </c>
      <c r="U214" t="s">
        <v>3661</v>
      </c>
      <c r="V214" t="s">
        <v>3662</v>
      </c>
      <c r="W214" t="s">
        <v>3663</v>
      </c>
      <c r="X214" t="s">
        <v>3664</v>
      </c>
      <c r="Y214" t="s">
        <v>3665</v>
      </c>
      <c r="Z214" t="s">
        <v>3666</v>
      </c>
      <c r="AA214" t="s">
        <v>74</v>
      </c>
      <c r="AB214" t="s">
        <v>74</v>
      </c>
      <c r="AC214" t="s">
        <v>74</v>
      </c>
      <c r="AD214" t="s">
        <v>74</v>
      </c>
      <c r="AE214" t="s">
        <v>74</v>
      </c>
      <c r="AF214" t="s">
        <v>74</v>
      </c>
      <c r="AG214">
        <v>49</v>
      </c>
      <c r="AH214">
        <v>2</v>
      </c>
      <c r="AI214">
        <v>3</v>
      </c>
      <c r="AJ214">
        <v>0</v>
      </c>
      <c r="AK214">
        <v>0</v>
      </c>
      <c r="AL214" t="s">
        <v>139</v>
      </c>
      <c r="AM214" t="s">
        <v>140</v>
      </c>
      <c r="AN214" t="s">
        <v>141</v>
      </c>
      <c r="AO214" t="s">
        <v>3610</v>
      </c>
      <c r="AP214" t="s">
        <v>3628</v>
      </c>
      <c r="AQ214" t="s">
        <v>74</v>
      </c>
      <c r="AR214" t="s">
        <v>3611</v>
      </c>
      <c r="AS214" t="s">
        <v>3612</v>
      </c>
      <c r="AT214" t="s">
        <v>74</v>
      </c>
      <c r="AU214">
        <v>2006</v>
      </c>
      <c r="AV214">
        <v>11</v>
      </c>
      <c r="AW214" t="s">
        <v>485</v>
      </c>
      <c r="AX214" t="s">
        <v>74</v>
      </c>
      <c r="AY214" t="s">
        <v>74</v>
      </c>
      <c r="AZ214" t="s">
        <v>74</v>
      </c>
      <c r="BA214" t="s">
        <v>74</v>
      </c>
      <c r="BB214">
        <v>28</v>
      </c>
      <c r="BC214">
        <v>48</v>
      </c>
      <c r="BD214" t="s">
        <v>74</v>
      </c>
      <c r="BE214" t="s">
        <v>3667</v>
      </c>
      <c r="BF214" t="str">
        <f>HYPERLINK("http://dx.doi.org/10.1016/j.ocemod.2004.11.004","http://dx.doi.org/10.1016/j.ocemod.2004.11.004")</f>
        <v>http://dx.doi.org/10.1016/j.ocemod.2004.11.004</v>
      </c>
      <c r="BG214" t="s">
        <v>74</v>
      </c>
      <c r="BH214" t="s">
        <v>74</v>
      </c>
      <c r="BI214">
        <v>21</v>
      </c>
      <c r="BJ214" t="s">
        <v>3614</v>
      </c>
      <c r="BK214" t="s">
        <v>98</v>
      </c>
      <c r="BL214" t="s">
        <v>3614</v>
      </c>
      <c r="BM214" t="s">
        <v>3668</v>
      </c>
      <c r="BN214" t="s">
        <v>74</v>
      </c>
      <c r="BO214" t="s">
        <v>74</v>
      </c>
      <c r="BP214" t="s">
        <v>74</v>
      </c>
      <c r="BQ214" t="s">
        <v>74</v>
      </c>
      <c r="BR214" t="s">
        <v>101</v>
      </c>
      <c r="BS214" t="s">
        <v>3669</v>
      </c>
      <c r="BT214" t="str">
        <f>HYPERLINK("https%3A%2F%2Fwww.webofscience.com%2Fwos%2Fwoscc%2Ffull-record%2FWOS:000232786700002","View Full Record in Web of Science")</f>
        <v>View Full Record in Web of Science</v>
      </c>
    </row>
    <row r="215" spans="1:72" x14ac:dyDescent="0.15">
      <c r="A215" t="s">
        <v>72</v>
      </c>
      <c r="B215" t="s">
        <v>3670</v>
      </c>
      <c r="C215" t="s">
        <v>74</v>
      </c>
      <c r="D215" t="s">
        <v>74</v>
      </c>
      <c r="E215" t="s">
        <v>74</v>
      </c>
      <c r="F215" t="s">
        <v>3670</v>
      </c>
      <c r="G215" t="s">
        <v>74</v>
      </c>
      <c r="H215" t="s">
        <v>74</v>
      </c>
      <c r="I215" t="s">
        <v>3671</v>
      </c>
      <c r="J215" t="s">
        <v>3600</v>
      </c>
      <c r="K215" t="s">
        <v>74</v>
      </c>
      <c r="L215" t="s">
        <v>74</v>
      </c>
      <c r="M215" t="s">
        <v>77</v>
      </c>
      <c r="N215" t="s">
        <v>78</v>
      </c>
      <c r="O215" t="s">
        <v>74</v>
      </c>
      <c r="P215" t="s">
        <v>74</v>
      </c>
      <c r="Q215" t="s">
        <v>74</v>
      </c>
      <c r="R215" t="s">
        <v>74</v>
      </c>
      <c r="S215" t="s">
        <v>74</v>
      </c>
      <c r="T215" t="s">
        <v>74</v>
      </c>
      <c r="U215" t="s">
        <v>3672</v>
      </c>
      <c r="V215" t="s">
        <v>3673</v>
      </c>
      <c r="W215" t="s">
        <v>3674</v>
      </c>
      <c r="X215" t="s">
        <v>1783</v>
      </c>
      <c r="Y215" t="s">
        <v>3675</v>
      </c>
      <c r="Z215" t="s">
        <v>3676</v>
      </c>
      <c r="AA215" t="s">
        <v>74</v>
      </c>
      <c r="AB215" t="s">
        <v>74</v>
      </c>
      <c r="AC215" t="s">
        <v>74</v>
      </c>
      <c r="AD215" t="s">
        <v>74</v>
      </c>
      <c r="AE215" t="s">
        <v>74</v>
      </c>
      <c r="AF215" t="s">
        <v>74</v>
      </c>
      <c r="AG215">
        <v>99</v>
      </c>
      <c r="AH215">
        <v>80</v>
      </c>
      <c r="AI215">
        <v>81</v>
      </c>
      <c r="AJ215">
        <v>0</v>
      </c>
      <c r="AK215">
        <v>7</v>
      </c>
      <c r="AL215" t="s">
        <v>139</v>
      </c>
      <c r="AM215" t="s">
        <v>140</v>
      </c>
      <c r="AN215" t="s">
        <v>141</v>
      </c>
      <c r="AO215" t="s">
        <v>3610</v>
      </c>
      <c r="AP215" t="s">
        <v>3628</v>
      </c>
      <c r="AQ215" t="s">
        <v>74</v>
      </c>
      <c r="AR215" t="s">
        <v>3611</v>
      </c>
      <c r="AS215" t="s">
        <v>3612</v>
      </c>
      <c r="AT215" t="s">
        <v>74</v>
      </c>
      <c r="AU215">
        <v>2006</v>
      </c>
      <c r="AV215">
        <v>11</v>
      </c>
      <c r="AW215" t="s">
        <v>530</v>
      </c>
      <c r="AX215" t="s">
        <v>74</v>
      </c>
      <c r="AY215" t="s">
        <v>74</v>
      </c>
      <c r="AZ215" t="s">
        <v>74</v>
      </c>
      <c r="BA215" t="s">
        <v>74</v>
      </c>
      <c r="BB215">
        <v>235</v>
      </c>
      <c r="BC215">
        <v>297</v>
      </c>
      <c r="BD215" t="s">
        <v>74</v>
      </c>
      <c r="BE215" t="s">
        <v>3677</v>
      </c>
      <c r="BF215" t="str">
        <f>HYPERLINK("http://dx.doi.org/10.1016/j.ocemod.2004.12.005","http://dx.doi.org/10.1016/j.ocemod.2004.12.005")</f>
        <v>http://dx.doi.org/10.1016/j.ocemod.2004.12.005</v>
      </c>
      <c r="BG215" t="s">
        <v>74</v>
      </c>
      <c r="BH215" t="s">
        <v>74</v>
      </c>
      <c r="BI215">
        <v>63</v>
      </c>
      <c r="BJ215" t="s">
        <v>3614</v>
      </c>
      <c r="BK215" t="s">
        <v>98</v>
      </c>
      <c r="BL215" t="s">
        <v>3614</v>
      </c>
      <c r="BM215" t="s">
        <v>3678</v>
      </c>
      <c r="BN215" t="s">
        <v>74</v>
      </c>
      <c r="BO215" t="s">
        <v>74</v>
      </c>
      <c r="BP215" t="s">
        <v>74</v>
      </c>
      <c r="BQ215" t="s">
        <v>74</v>
      </c>
      <c r="BR215" t="s">
        <v>101</v>
      </c>
      <c r="BS215" t="s">
        <v>3679</v>
      </c>
      <c r="BT215" t="str">
        <f>HYPERLINK("https%3A%2F%2Fwww.webofscience.com%2Fwos%2Fwoscc%2Ffull-record%2FWOS:000233501200001","View Full Record in Web of Science")</f>
        <v>View Full Record in Web of Science</v>
      </c>
    </row>
    <row r="216" spans="1:72" x14ac:dyDescent="0.15">
      <c r="A216" t="s">
        <v>72</v>
      </c>
      <c r="B216" t="s">
        <v>3680</v>
      </c>
      <c r="C216" t="s">
        <v>74</v>
      </c>
      <c r="D216" t="s">
        <v>74</v>
      </c>
      <c r="E216" t="s">
        <v>74</v>
      </c>
      <c r="F216" t="s">
        <v>3681</v>
      </c>
      <c r="G216" t="s">
        <v>74</v>
      </c>
      <c r="H216" t="s">
        <v>74</v>
      </c>
      <c r="I216" t="s">
        <v>3682</v>
      </c>
      <c r="J216" t="s">
        <v>3683</v>
      </c>
      <c r="K216" t="s">
        <v>74</v>
      </c>
      <c r="L216" t="s">
        <v>74</v>
      </c>
      <c r="M216" t="s">
        <v>77</v>
      </c>
      <c r="N216" t="s">
        <v>78</v>
      </c>
      <c r="O216" t="s">
        <v>74</v>
      </c>
      <c r="P216" t="s">
        <v>74</v>
      </c>
      <c r="Q216" t="s">
        <v>74</v>
      </c>
      <c r="R216" t="s">
        <v>74</v>
      </c>
      <c r="S216" t="s">
        <v>74</v>
      </c>
      <c r="T216" t="s">
        <v>74</v>
      </c>
      <c r="U216" t="s">
        <v>74</v>
      </c>
      <c r="V216" t="s">
        <v>3684</v>
      </c>
      <c r="W216" t="s">
        <v>3685</v>
      </c>
      <c r="X216" t="s">
        <v>3686</v>
      </c>
      <c r="Y216" t="s">
        <v>3687</v>
      </c>
      <c r="Z216" t="s">
        <v>3688</v>
      </c>
      <c r="AA216" t="s">
        <v>3689</v>
      </c>
      <c r="AB216" t="s">
        <v>3690</v>
      </c>
      <c r="AC216" t="s">
        <v>74</v>
      </c>
      <c r="AD216" t="s">
        <v>74</v>
      </c>
      <c r="AE216" t="s">
        <v>74</v>
      </c>
      <c r="AF216" t="s">
        <v>74</v>
      </c>
      <c r="AG216">
        <v>24</v>
      </c>
      <c r="AH216">
        <v>3</v>
      </c>
      <c r="AI216">
        <v>4</v>
      </c>
      <c r="AJ216">
        <v>0</v>
      </c>
      <c r="AK216">
        <v>4</v>
      </c>
      <c r="AL216" t="s">
        <v>431</v>
      </c>
      <c r="AM216" t="s">
        <v>432</v>
      </c>
      <c r="AN216" t="s">
        <v>433</v>
      </c>
      <c r="AO216" t="s">
        <v>3691</v>
      </c>
      <c r="AP216" t="s">
        <v>74</v>
      </c>
      <c r="AQ216" t="s">
        <v>74</v>
      </c>
      <c r="AR216" t="s">
        <v>3692</v>
      </c>
      <c r="AS216" t="s">
        <v>3693</v>
      </c>
      <c r="AT216" t="s">
        <v>74</v>
      </c>
      <c r="AU216">
        <v>2006</v>
      </c>
      <c r="AV216">
        <v>2</v>
      </c>
      <c r="AW216">
        <v>2</v>
      </c>
      <c r="AX216" t="s">
        <v>74</v>
      </c>
      <c r="AY216" t="s">
        <v>74</v>
      </c>
      <c r="AZ216" t="s">
        <v>74</v>
      </c>
      <c r="BA216" t="s">
        <v>74</v>
      </c>
      <c r="BB216">
        <v>201</v>
      </c>
      <c r="BC216">
        <v>211</v>
      </c>
      <c r="BD216" t="s">
        <v>74</v>
      </c>
      <c r="BE216" t="s">
        <v>3694</v>
      </c>
      <c r="BF216" t="str">
        <f>HYPERLINK("http://dx.doi.org/10.5194/os-2-201-2006","http://dx.doi.org/10.5194/os-2-201-2006")</f>
        <v>http://dx.doi.org/10.5194/os-2-201-2006</v>
      </c>
      <c r="BG216" t="s">
        <v>74</v>
      </c>
      <c r="BH216" t="s">
        <v>74</v>
      </c>
      <c r="BI216">
        <v>11</v>
      </c>
      <c r="BJ216" t="s">
        <v>3614</v>
      </c>
      <c r="BK216" t="s">
        <v>98</v>
      </c>
      <c r="BL216" t="s">
        <v>3614</v>
      </c>
      <c r="BM216" t="s">
        <v>3695</v>
      </c>
      <c r="BN216" t="s">
        <v>74</v>
      </c>
      <c r="BO216" t="s">
        <v>3696</v>
      </c>
      <c r="BP216" t="s">
        <v>74</v>
      </c>
      <c r="BQ216" t="s">
        <v>74</v>
      </c>
      <c r="BR216" t="s">
        <v>101</v>
      </c>
      <c r="BS216" t="s">
        <v>3697</v>
      </c>
      <c r="BT216" t="str">
        <f>HYPERLINK("https%3A%2F%2Fwww.webofscience.com%2Fwos%2Fwoscc%2Ffull-record%2FWOS:000208667200010","View Full Record in Web of Science")</f>
        <v>View Full Record in Web of Science</v>
      </c>
    </row>
    <row r="217" spans="1:72" x14ac:dyDescent="0.15">
      <c r="A217" t="s">
        <v>577</v>
      </c>
      <c r="B217" t="s">
        <v>3698</v>
      </c>
      <c r="C217" t="s">
        <v>74</v>
      </c>
      <c r="D217" t="s">
        <v>3699</v>
      </c>
      <c r="E217" t="s">
        <v>74</v>
      </c>
      <c r="F217" t="s">
        <v>3700</v>
      </c>
      <c r="G217" t="s">
        <v>74</v>
      </c>
      <c r="H217" t="s">
        <v>74</v>
      </c>
      <c r="I217" t="s">
        <v>3701</v>
      </c>
      <c r="J217" t="s">
        <v>3702</v>
      </c>
      <c r="K217" t="s">
        <v>3703</v>
      </c>
      <c r="L217" t="s">
        <v>74</v>
      </c>
      <c r="M217" t="s">
        <v>77</v>
      </c>
      <c r="N217" t="s">
        <v>381</v>
      </c>
      <c r="O217" t="s">
        <v>74</v>
      </c>
      <c r="P217" t="s">
        <v>74</v>
      </c>
      <c r="Q217" t="s">
        <v>74</v>
      </c>
      <c r="R217" t="s">
        <v>74</v>
      </c>
      <c r="S217" t="s">
        <v>74</v>
      </c>
      <c r="T217" t="s">
        <v>74</v>
      </c>
      <c r="U217" t="s">
        <v>3704</v>
      </c>
      <c r="V217" t="s">
        <v>3705</v>
      </c>
      <c r="W217" t="s">
        <v>3706</v>
      </c>
      <c r="X217" t="s">
        <v>3707</v>
      </c>
      <c r="Y217" t="s">
        <v>3708</v>
      </c>
      <c r="Z217" t="s">
        <v>3709</v>
      </c>
      <c r="AA217" t="s">
        <v>3710</v>
      </c>
      <c r="AB217" t="s">
        <v>3711</v>
      </c>
      <c r="AC217" t="s">
        <v>74</v>
      </c>
      <c r="AD217" t="s">
        <v>74</v>
      </c>
      <c r="AE217" t="s">
        <v>74</v>
      </c>
      <c r="AF217" t="s">
        <v>74</v>
      </c>
      <c r="AG217">
        <v>134</v>
      </c>
      <c r="AH217">
        <v>50</v>
      </c>
      <c r="AI217">
        <v>52</v>
      </c>
      <c r="AJ217">
        <v>4</v>
      </c>
      <c r="AK217">
        <v>88</v>
      </c>
      <c r="AL217" t="s">
        <v>3712</v>
      </c>
      <c r="AM217" t="s">
        <v>3713</v>
      </c>
      <c r="AN217" t="s">
        <v>3714</v>
      </c>
      <c r="AO217" t="s">
        <v>3715</v>
      </c>
      <c r="AP217" t="s">
        <v>74</v>
      </c>
      <c r="AQ217" t="s">
        <v>3716</v>
      </c>
      <c r="AR217" t="s">
        <v>3717</v>
      </c>
      <c r="AS217" t="s">
        <v>3718</v>
      </c>
      <c r="AT217" t="s">
        <v>74</v>
      </c>
      <c r="AU217">
        <v>2006</v>
      </c>
      <c r="AV217">
        <v>44</v>
      </c>
      <c r="AW217" t="s">
        <v>74</v>
      </c>
      <c r="AX217" t="s">
        <v>74</v>
      </c>
      <c r="AY217" t="s">
        <v>74</v>
      </c>
      <c r="AZ217" t="s">
        <v>74</v>
      </c>
      <c r="BA217" t="s">
        <v>74</v>
      </c>
      <c r="BB217">
        <v>277</v>
      </c>
      <c r="BC217" t="s">
        <v>1059</v>
      </c>
      <c r="BD217" t="s">
        <v>74</v>
      </c>
      <c r="BE217" t="s">
        <v>74</v>
      </c>
      <c r="BF217" t="s">
        <v>74</v>
      </c>
      <c r="BG217" t="s">
        <v>3719</v>
      </c>
      <c r="BH217" t="s">
        <v>74</v>
      </c>
      <c r="BI217">
        <v>47</v>
      </c>
      <c r="BJ217" t="s">
        <v>3720</v>
      </c>
      <c r="BK217" t="s">
        <v>1325</v>
      </c>
      <c r="BL217" t="s">
        <v>3720</v>
      </c>
      <c r="BM217" t="s">
        <v>3721</v>
      </c>
      <c r="BN217" t="s">
        <v>74</v>
      </c>
      <c r="BO217" t="s">
        <v>74</v>
      </c>
      <c r="BP217" t="s">
        <v>74</v>
      </c>
      <c r="BQ217" t="s">
        <v>74</v>
      </c>
      <c r="BR217" t="s">
        <v>101</v>
      </c>
      <c r="BS217" t="s">
        <v>3722</v>
      </c>
      <c r="BT217" t="str">
        <f>HYPERLINK("https%3A%2F%2Fwww.webofscience.com%2Fwos%2Fwoscc%2Ffull-record%2FWOS:000243635700006","View Full Record in Web of Science")</f>
        <v>View Full Record in Web of Science</v>
      </c>
    </row>
    <row r="218" spans="1:72" x14ac:dyDescent="0.15">
      <c r="A218" t="s">
        <v>577</v>
      </c>
      <c r="B218" t="s">
        <v>3723</v>
      </c>
      <c r="C218" t="s">
        <v>74</v>
      </c>
      <c r="D218" t="s">
        <v>3699</v>
      </c>
      <c r="E218" t="s">
        <v>74</v>
      </c>
      <c r="F218" t="s">
        <v>3724</v>
      </c>
      <c r="G218" t="s">
        <v>74</v>
      </c>
      <c r="H218" t="s">
        <v>74</v>
      </c>
      <c r="I218" t="s">
        <v>3725</v>
      </c>
      <c r="J218" t="s">
        <v>3702</v>
      </c>
      <c r="K218" t="s">
        <v>3703</v>
      </c>
      <c r="L218" t="s">
        <v>74</v>
      </c>
      <c r="M218" t="s">
        <v>77</v>
      </c>
      <c r="N218" t="s">
        <v>381</v>
      </c>
      <c r="O218" t="s">
        <v>74</v>
      </c>
      <c r="P218" t="s">
        <v>74</v>
      </c>
      <c r="Q218" t="s">
        <v>74</v>
      </c>
      <c r="R218" t="s">
        <v>74</v>
      </c>
      <c r="S218" t="s">
        <v>74</v>
      </c>
      <c r="T218" t="s">
        <v>74</v>
      </c>
      <c r="U218" t="s">
        <v>3726</v>
      </c>
      <c r="V218" t="s">
        <v>3727</v>
      </c>
      <c r="W218" t="s">
        <v>3728</v>
      </c>
      <c r="X218" t="s">
        <v>3729</v>
      </c>
      <c r="Y218" t="s">
        <v>3730</v>
      </c>
      <c r="Z218" t="s">
        <v>3731</v>
      </c>
      <c r="AA218" t="s">
        <v>3732</v>
      </c>
      <c r="AB218" t="s">
        <v>3733</v>
      </c>
      <c r="AC218" t="s">
        <v>74</v>
      </c>
      <c r="AD218" t="s">
        <v>74</v>
      </c>
      <c r="AE218" t="s">
        <v>74</v>
      </c>
      <c r="AF218" t="s">
        <v>74</v>
      </c>
      <c r="AG218">
        <v>129</v>
      </c>
      <c r="AH218">
        <v>170</v>
      </c>
      <c r="AI218">
        <v>216</v>
      </c>
      <c r="AJ218">
        <v>9</v>
      </c>
      <c r="AK218">
        <v>294</v>
      </c>
      <c r="AL218" t="s">
        <v>3712</v>
      </c>
      <c r="AM218" t="s">
        <v>3713</v>
      </c>
      <c r="AN218" t="s">
        <v>3714</v>
      </c>
      <c r="AO218" t="s">
        <v>3715</v>
      </c>
      <c r="AP218" t="s">
        <v>74</v>
      </c>
      <c r="AQ218" t="s">
        <v>3716</v>
      </c>
      <c r="AR218" t="s">
        <v>3717</v>
      </c>
      <c r="AS218" t="s">
        <v>3718</v>
      </c>
      <c r="AT218" t="s">
        <v>74</v>
      </c>
      <c r="AU218">
        <v>2006</v>
      </c>
      <c r="AV218">
        <v>44</v>
      </c>
      <c r="AW218" t="s">
        <v>74</v>
      </c>
      <c r="AX218" t="s">
        <v>74</v>
      </c>
      <c r="AY218" t="s">
        <v>74</v>
      </c>
      <c r="AZ218" t="s">
        <v>74</v>
      </c>
      <c r="BA218" t="s">
        <v>74</v>
      </c>
      <c r="BB218">
        <v>431</v>
      </c>
      <c r="BC218">
        <v>464</v>
      </c>
      <c r="BD218" t="s">
        <v>74</v>
      </c>
      <c r="BE218" t="s">
        <v>74</v>
      </c>
      <c r="BF218" t="s">
        <v>74</v>
      </c>
      <c r="BG218" t="s">
        <v>3719</v>
      </c>
      <c r="BH218" t="s">
        <v>74</v>
      </c>
      <c r="BI218">
        <v>34</v>
      </c>
      <c r="BJ218" t="s">
        <v>3720</v>
      </c>
      <c r="BK218" t="s">
        <v>1325</v>
      </c>
      <c r="BL218" t="s">
        <v>3720</v>
      </c>
      <c r="BM218" t="s">
        <v>3721</v>
      </c>
      <c r="BN218" t="s">
        <v>74</v>
      </c>
      <c r="BO218" t="s">
        <v>74</v>
      </c>
      <c r="BP218" t="s">
        <v>74</v>
      </c>
      <c r="BQ218" t="s">
        <v>74</v>
      </c>
      <c r="BR218" t="s">
        <v>101</v>
      </c>
      <c r="BS218" t="s">
        <v>3734</v>
      </c>
      <c r="BT218" t="str">
        <f>HYPERLINK("https%3A%2F%2Fwww.webofscience.com%2Fwos%2Fwoscc%2Ffull-record%2FWOS:000243635700008","View Full Record in Web of Science")</f>
        <v>View Full Record in Web of Science</v>
      </c>
    </row>
    <row r="219" spans="1:72" x14ac:dyDescent="0.15">
      <c r="A219" t="s">
        <v>72</v>
      </c>
      <c r="B219" t="s">
        <v>3735</v>
      </c>
      <c r="C219" t="s">
        <v>74</v>
      </c>
      <c r="D219" t="s">
        <v>74</v>
      </c>
      <c r="E219" t="s">
        <v>74</v>
      </c>
      <c r="F219" t="s">
        <v>3736</v>
      </c>
      <c r="G219" t="s">
        <v>74</v>
      </c>
      <c r="H219" t="s">
        <v>74</v>
      </c>
      <c r="I219" t="s">
        <v>3737</v>
      </c>
      <c r="J219" t="s">
        <v>3738</v>
      </c>
      <c r="K219" t="s">
        <v>74</v>
      </c>
      <c r="L219" t="s">
        <v>74</v>
      </c>
      <c r="M219" t="s">
        <v>77</v>
      </c>
      <c r="N219" t="s">
        <v>78</v>
      </c>
      <c r="O219" t="s">
        <v>74</v>
      </c>
      <c r="P219" t="s">
        <v>74</v>
      </c>
      <c r="Q219" t="s">
        <v>74</v>
      </c>
      <c r="R219" t="s">
        <v>74</v>
      </c>
      <c r="S219" t="s">
        <v>74</v>
      </c>
      <c r="T219" t="s">
        <v>74</v>
      </c>
      <c r="U219" t="s">
        <v>3739</v>
      </c>
      <c r="V219" t="s">
        <v>3740</v>
      </c>
      <c r="W219" t="s">
        <v>3741</v>
      </c>
      <c r="X219" t="s">
        <v>3419</v>
      </c>
      <c r="Y219" t="s">
        <v>3742</v>
      </c>
      <c r="Z219" t="s">
        <v>74</v>
      </c>
      <c r="AA219" t="s">
        <v>3743</v>
      </c>
      <c r="AB219" t="s">
        <v>3744</v>
      </c>
      <c r="AC219" t="s">
        <v>74</v>
      </c>
      <c r="AD219" t="s">
        <v>74</v>
      </c>
      <c r="AE219" t="s">
        <v>74</v>
      </c>
      <c r="AF219" t="s">
        <v>74</v>
      </c>
      <c r="AG219">
        <v>14</v>
      </c>
      <c r="AH219">
        <v>2</v>
      </c>
      <c r="AI219">
        <v>2</v>
      </c>
      <c r="AJ219">
        <v>0</v>
      </c>
      <c r="AK219">
        <v>2</v>
      </c>
      <c r="AL219" t="s">
        <v>115</v>
      </c>
      <c r="AM219" t="s">
        <v>89</v>
      </c>
      <c r="AN219" t="s">
        <v>116</v>
      </c>
      <c r="AO219" t="s">
        <v>3745</v>
      </c>
      <c r="AP219" t="s">
        <v>3746</v>
      </c>
      <c r="AQ219" t="s">
        <v>74</v>
      </c>
      <c r="AR219" t="s">
        <v>3747</v>
      </c>
      <c r="AS219" t="s">
        <v>3748</v>
      </c>
      <c r="AT219" t="s">
        <v>95</v>
      </c>
      <c r="AU219">
        <v>2006</v>
      </c>
      <c r="AV219">
        <v>46</v>
      </c>
      <c r="AW219">
        <v>1</v>
      </c>
      <c r="AX219" t="s">
        <v>74</v>
      </c>
      <c r="AY219" t="s">
        <v>74</v>
      </c>
      <c r="AZ219" t="s">
        <v>74</v>
      </c>
      <c r="BA219" t="s">
        <v>74</v>
      </c>
      <c r="BB219">
        <v>17</v>
      </c>
      <c r="BC219">
        <v>22</v>
      </c>
      <c r="BD219" t="s">
        <v>74</v>
      </c>
      <c r="BE219" t="s">
        <v>3749</v>
      </c>
      <c r="BF219" t="str">
        <f>HYPERLINK("http://dx.doi.org/10.1134/S0001437006010036","http://dx.doi.org/10.1134/S0001437006010036")</f>
        <v>http://dx.doi.org/10.1134/S0001437006010036</v>
      </c>
      <c r="BG219" t="s">
        <v>74</v>
      </c>
      <c r="BH219" t="s">
        <v>74</v>
      </c>
      <c r="BI219">
        <v>6</v>
      </c>
      <c r="BJ219" t="s">
        <v>629</v>
      </c>
      <c r="BK219" t="s">
        <v>98</v>
      </c>
      <c r="BL219" t="s">
        <v>629</v>
      </c>
      <c r="BM219" t="s">
        <v>3750</v>
      </c>
      <c r="BN219" t="s">
        <v>74</v>
      </c>
      <c r="BO219" t="s">
        <v>74</v>
      </c>
      <c r="BP219" t="s">
        <v>74</v>
      </c>
      <c r="BQ219" t="s">
        <v>74</v>
      </c>
      <c r="BR219" t="s">
        <v>101</v>
      </c>
      <c r="BS219" t="s">
        <v>3751</v>
      </c>
      <c r="BT219" t="str">
        <f>HYPERLINK("https%3A%2F%2Fwww.webofscience.com%2Fwos%2Fwoscc%2Ffull-record%2FWOS:000245651900003","View Full Record in Web of Science")</f>
        <v>View Full Record in Web of Science</v>
      </c>
    </row>
    <row r="220" spans="1:72" x14ac:dyDescent="0.15">
      <c r="A220" t="s">
        <v>72</v>
      </c>
      <c r="B220" t="s">
        <v>3752</v>
      </c>
      <c r="C220" t="s">
        <v>74</v>
      </c>
      <c r="D220" t="s">
        <v>74</v>
      </c>
      <c r="E220" t="s">
        <v>74</v>
      </c>
      <c r="F220" t="s">
        <v>3753</v>
      </c>
      <c r="G220" t="s">
        <v>74</v>
      </c>
      <c r="H220" t="s">
        <v>74</v>
      </c>
      <c r="I220" t="s">
        <v>3754</v>
      </c>
      <c r="J220" t="s">
        <v>3738</v>
      </c>
      <c r="K220" t="s">
        <v>74</v>
      </c>
      <c r="L220" t="s">
        <v>74</v>
      </c>
      <c r="M220" t="s">
        <v>77</v>
      </c>
      <c r="N220" t="s">
        <v>78</v>
      </c>
      <c r="O220" t="s">
        <v>74</v>
      </c>
      <c r="P220" t="s">
        <v>74</v>
      </c>
      <c r="Q220" t="s">
        <v>74</v>
      </c>
      <c r="R220" t="s">
        <v>74</v>
      </c>
      <c r="S220" t="s">
        <v>74</v>
      </c>
      <c r="T220" t="s">
        <v>74</v>
      </c>
      <c r="U220" t="s">
        <v>3755</v>
      </c>
      <c r="V220" t="s">
        <v>3756</v>
      </c>
      <c r="W220" t="s">
        <v>3757</v>
      </c>
      <c r="X220" t="s">
        <v>3758</v>
      </c>
      <c r="Y220" t="s">
        <v>3759</v>
      </c>
      <c r="Z220" t="s">
        <v>74</v>
      </c>
      <c r="AA220" t="s">
        <v>3760</v>
      </c>
      <c r="AB220" t="s">
        <v>3761</v>
      </c>
      <c r="AC220" t="s">
        <v>74</v>
      </c>
      <c r="AD220" t="s">
        <v>74</v>
      </c>
      <c r="AE220" t="s">
        <v>74</v>
      </c>
      <c r="AF220" t="s">
        <v>74</v>
      </c>
      <c r="AG220">
        <v>50</v>
      </c>
      <c r="AH220">
        <v>7</v>
      </c>
      <c r="AI220">
        <v>7</v>
      </c>
      <c r="AJ220">
        <v>0</v>
      </c>
      <c r="AK220">
        <v>1</v>
      </c>
      <c r="AL220" t="s">
        <v>115</v>
      </c>
      <c r="AM220" t="s">
        <v>89</v>
      </c>
      <c r="AN220" t="s">
        <v>116</v>
      </c>
      <c r="AO220" t="s">
        <v>3745</v>
      </c>
      <c r="AP220" t="s">
        <v>3746</v>
      </c>
      <c r="AQ220" t="s">
        <v>74</v>
      </c>
      <c r="AR220" t="s">
        <v>3747</v>
      </c>
      <c r="AS220" t="s">
        <v>3748</v>
      </c>
      <c r="AT220" t="s">
        <v>95</v>
      </c>
      <c r="AU220">
        <v>2006</v>
      </c>
      <c r="AV220">
        <v>46</v>
      </c>
      <c r="AW220">
        <v>1</v>
      </c>
      <c r="AX220" t="s">
        <v>74</v>
      </c>
      <c r="AY220" t="s">
        <v>74</v>
      </c>
      <c r="AZ220" t="s">
        <v>74</v>
      </c>
      <c r="BA220" t="s">
        <v>74</v>
      </c>
      <c r="BB220">
        <v>114</v>
      </c>
      <c r="BC220">
        <v>122</v>
      </c>
      <c r="BD220" t="s">
        <v>74</v>
      </c>
      <c r="BE220" t="s">
        <v>3762</v>
      </c>
      <c r="BF220" t="str">
        <f>HYPERLINK("http://dx.doi.org/10.1134/S0001437006010139","http://dx.doi.org/10.1134/S0001437006010139")</f>
        <v>http://dx.doi.org/10.1134/S0001437006010139</v>
      </c>
      <c r="BG220" t="s">
        <v>74</v>
      </c>
      <c r="BH220" t="s">
        <v>74</v>
      </c>
      <c r="BI220">
        <v>9</v>
      </c>
      <c r="BJ220" t="s">
        <v>629</v>
      </c>
      <c r="BK220" t="s">
        <v>98</v>
      </c>
      <c r="BL220" t="s">
        <v>629</v>
      </c>
      <c r="BM220" t="s">
        <v>3750</v>
      </c>
      <c r="BN220" t="s">
        <v>74</v>
      </c>
      <c r="BO220" t="s">
        <v>74</v>
      </c>
      <c r="BP220" t="s">
        <v>74</v>
      </c>
      <c r="BQ220" t="s">
        <v>74</v>
      </c>
      <c r="BR220" t="s">
        <v>101</v>
      </c>
      <c r="BS220" t="s">
        <v>3763</v>
      </c>
      <c r="BT220" t="str">
        <f>HYPERLINK("https%3A%2F%2Fwww.webofscience.com%2Fwos%2Fwoscc%2Ffull-record%2FWOS:000245651900013","View Full Record in Web of Science")</f>
        <v>View Full Record in Web of Science</v>
      </c>
    </row>
    <row r="221" spans="1:72" x14ac:dyDescent="0.15">
      <c r="A221" t="s">
        <v>297</v>
      </c>
      <c r="B221" t="s">
        <v>3764</v>
      </c>
      <c r="C221" t="s">
        <v>74</v>
      </c>
      <c r="D221" t="s">
        <v>74</v>
      </c>
      <c r="E221" t="s">
        <v>505</v>
      </c>
      <c r="F221" t="s">
        <v>3765</v>
      </c>
      <c r="G221" t="s">
        <v>74</v>
      </c>
      <c r="H221" t="s">
        <v>74</v>
      </c>
      <c r="I221" t="s">
        <v>3766</v>
      </c>
      <c r="J221" t="s">
        <v>3767</v>
      </c>
      <c r="K221" t="s">
        <v>3768</v>
      </c>
      <c r="L221" t="s">
        <v>74</v>
      </c>
      <c r="M221" t="s">
        <v>77</v>
      </c>
      <c r="N221" t="s">
        <v>304</v>
      </c>
      <c r="O221" t="s">
        <v>3769</v>
      </c>
      <c r="P221" t="s">
        <v>496</v>
      </c>
      <c r="Q221" t="s">
        <v>3770</v>
      </c>
      <c r="R221" t="s">
        <v>74</v>
      </c>
      <c r="S221" t="s">
        <v>74</v>
      </c>
      <c r="T221" t="s">
        <v>74</v>
      </c>
      <c r="U221" t="s">
        <v>74</v>
      </c>
      <c r="V221" t="s">
        <v>3771</v>
      </c>
      <c r="W221" t="s">
        <v>3772</v>
      </c>
      <c r="X221" t="s">
        <v>3773</v>
      </c>
      <c r="Y221" t="s">
        <v>3774</v>
      </c>
      <c r="Z221" t="s">
        <v>74</v>
      </c>
      <c r="AA221" t="s">
        <v>74</v>
      </c>
      <c r="AB221" t="s">
        <v>74</v>
      </c>
      <c r="AC221" t="s">
        <v>3775</v>
      </c>
      <c r="AD221" t="s">
        <v>3776</v>
      </c>
      <c r="AE221" t="s">
        <v>3777</v>
      </c>
      <c r="AF221" t="s">
        <v>74</v>
      </c>
      <c r="AG221">
        <v>3</v>
      </c>
      <c r="AH221">
        <v>0</v>
      </c>
      <c r="AI221">
        <v>0</v>
      </c>
      <c r="AJ221">
        <v>0</v>
      </c>
      <c r="AK221">
        <v>0</v>
      </c>
      <c r="AL221" t="s">
        <v>505</v>
      </c>
      <c r="AM221" t="s">
        <v>89</v>
      </c>
      <c r="AN221" t="s">
        <v>506</v>
      </c>
      <c r="AO221" t="s">
        <v>3778</v>
      </c>
      <c r="AP221" t="s">
        <v>74</v>
      </c>
      <c r="AQ221" t="s">
        <v>3779</v>
      </c>
      <c r="AR221" t="s">
        <v>3768</v>
      </c>
      <c r="AS221" t="s">
        <v>74</v>
      </c>
      <c r="AT221" t="s">
        <v>74</v>
      </c>
      <c r="AU221">
        <v>2006</v>
      </c>
      <c r="AV221" t="s">
        <v>74</v>
      </c>
      <c r="AW221" t="s">
        <v>74</v>
      </c>
      <c r="AX221" t="s">
        <v>74</v>
      </c>
      <c r="AY221" t="s">
        <v>74</v>
      </c>
      <c r="AZ221" t="s">
        <v>74</v>
      </c>
      <c r="BA221" t="s">
        <v>74</v>
      </c>
      <c r="BB221">
        <v>792</v>
      </c>
      <c r="BC221" t="s">
        <v>1059</v>
      </c>
      <c r="BD221" t="s">
        <v>74</v>
      </c>
      <c r="BE221" t="s">
        <v>74</v>
      </c>
      <c r="BF221" t="s">
        <v>74</v>
      </c>
      <c r="BG221" t="s">
        <v>74</v>
      </c>
      <c r="BH221" t="s">
        <v>74</v>
      </c>
      <c r="BI221">
        <v>2</v>
      </c>
      <c r="BJ221" t="s">
        <v>3780</v>
      </c>
      <c r="BK221" t="s">
        <v>328</v>
      </c>
      <c r="BL221" t="s">
        <v>509</v>
      </c>
      <c r="BM221" t="s">
        <v>3781</v>
      </c>
      <c r="BN221" t="s">
        <v>74</v>
      </c>
      <c r="BO221" t="s">
        <v>74</v>
      </c>
      <c r="BP221" t="s">
        <v>74</v>
      </c>
      <c r="BQ221" t="s">
        <v>74</v>
      </c>
      <c r="BR221" t="s">
        <v>101</v>
      </c>
      <c r="BS221" t="s">
        <v>3782</v>
      </c>
      <c r="BT221" t="str">
        <f>HYPERLINK("https%3A%2F%2Fwww.webofscience.com%2Fwos%2Fwoscc%2Ffull-record%2FWOS:000246002100143","View Full Record in Web of Science")</f>
        <v>View Full Record in Web of Science</v>
      </c>
    </row>
    <row r="222" spans="1:72" x14ac:dyDescent="0.15">
      <c r="A222" t="s">
        <v>297</v>
      </c>
      <c r="B222" t="s">
        <v>3783</v>
      </c>
      <c r="C222" t="s">
        <v>74</v>
      </c>
      <c r="D222" t="s">
        <v>74</v>
      </c>
      <c r="E222" t="s">
        <v>505</v>
      </c>
      <c r="F222" t="s">
        <v>3784</v>
      </c>
      <c r="G222" t="s">
        <v>74</v>
      </c>
      <c r="H222" t="s">
        <v>74</v>
      </c>
      <c r="I222" t="s">
        <v>3785</v>
      </c>
      <c r="J222" t="s">
        <v>3767</v>
      </c>
      <c r="K222" t="s">
        <v>3768</v>
      </c>
      <c r="L222" t="s">
        <v>74</v>
      </c>
      <c r="M222" t="s">
        <v>77</v>
      </c>
      <c r="N222" t="s">
        <v>304</v>
      </c>
      <c r="O222" t="s">
        <v>3769</v>
      </c>
      <c r="P222" t="s">
        <v>496</v>
      </c>
      <c r="Q222" t="s">
        <v>3770</v>
      </c>
      <c r="R222" t="s">
        <v>74</v>
      </c>
      <c r="S222" t="s">
        <v>74</v>
      </c>
      <c r="T222" t="s">
        <v>74</v>
      </c>
      <c r="U222" t="s">
        <v>74</v>
      </c>
      <c r="V222" t="s">
        <v>3786</v>
      </c>
      <c r="W222" t="s">
        <v>3787</v>
      </c>
      <c r="X222" t="s">
        <v>3788</v>
      </c>
      <c r="Y222" t="s">
        <v>3789</v>
      </c>
      <c r="Z222" t="s">
        <v>74</v>
      </c>
      <c r="AA222" t="s">
        <v>3790</v>
      </c>
      <c r="AB222" t="s">
        <v>3791</v>
      </c>
      <c r="AC222" t="s">
        <v>74</v>
      </c>
      <c r="AD222" t="s">
        <v>74</v>
      </c>
      <c r="AE222" t="s">
        <v>74</v>
      </c>
      <c r="AF222" t="s">
        <v>74</v>
      </c>
      <c r="AG222">
        <v>10</v>
      </c>
      <c r="AH222">
        <v>0</v>
      </c>
      <c r="AI222">
        <v>0</v>
      </c>
      <c r="AJ222">
        <v>0</v>
      </c>
      <c r="AK222">
        <v>4</v>
      </c>
      <c r="AL222" t="s">
        <v>505</v>
      </c>
      <c r="AM222" t="s">
        <v>89</v>
      </c>
      <c r="AN222" t="s">
        <v>506</v>
      </c>
      <c r="AO222" t="s">
        <v>3778</v>
      </c>
      <c r="AP222" t="s">
        <v>74</v>
      </c>
      <c r="AQ222" t="s">
        <v>3779</v>
      </c>
      <c r="AR222" t="s">
        <v>3768</v>
      </c>
      <c r="AS222" t="s">
        <v>74</v>
      </c>
      <c r="AT222" t="s">
        <v>74</v>
      </c>
      <c r="AU222">
        <v>2006</v>
      </c>
      <c r="AV222" t="s">
        <v>74</v>
      </c>
      <c r="AW222" t="s">
        <v>74</v>
      </c>
      <c r="AX222" t="s">
        <v>74</v>
      </c>
      <c r="AY222" t="s">
        <v>74</v>
      </c>
      <c r="AZ222" t="s">
        <v>74</v>
      </c>
      <c r="BA222" t="s">
        <v>74</v>
      </c>
      <c r="BB222">
        <v>1918</v>
      </c>
      <c r="BC222" t="s">
        <v>1059</v>
      </c>
      <c r="BD222" t="s">
        <v>74</v>
      </c>
      <c r="BE222" t="s">
        <v>74</v>
      </c>
      <c r="BF222" t="s">
        <v>74</v>
      </c>
      <c r="BG222" t="s">
        <v>74</v>
      </c>
      <c r="BH222" t="s">
        <v>74</v>
      </c>
      <c r="BI222">
        <v>2</v>
      </c>
      <c r="BJ222" t="s">
        <v>3780</v>
      </c>
      <c r="BK222" t="s">
        <v>328</v>
      </c>
      <c r="BL222" t="s">
        <v>509</v>
      </c>
      <c r="BM222" t="s">
        <v>3781</v>
      </c>
      <c r="BN222" t="s">
        <v>74</v>
      </c>
      <c r="BO222" t="s">
        <v>74</v>
      </c>
      <c r="BP222" t="s">
        <v>74</v>
      </c>
      <c r="BQ222" t="s">
        <v>74</v>
      </c>
      <c r="BR222" t="s">
        <v>101</v>
      </c>
      <c r="BS222" t="s">
        <v>3792</v>
      </c>
      <c r="BT222" t="str">
        <f>HYPERLINK("https%3A%2F%2Fwww.webofscience.com%2Fwos%2Fwoscc%2Ffull-record%2FWOS:000246002100351","View Full Record in Web of Science")</f>
        <v>View Full Record in Web of Science</v>
      </c>
    </row>
    <row r="223" spans="1:72" x14ac:dyDescent="0.15">
      <c r="A223" t="s">
        <v>374</v>
      </c>
      <c r="B223" t="s">
        <v>3793</v>
      </c>
      <c r="C223" t="s">
        <v>74</v>
      </c>
      <c r="D223" t="s">
        <v>3794</v>
      </c>
      <c r="E223" t="s">
        <v>74</v>
      </c>
      <c r="F223" t="s">
        <v>3795</v>
      </c>
      <c r="G223" t="s">
        <v>74</v>
      </c>
      <c r="H223" t="s">
        <v>74</v>
      </c>
      <c r="I223" t="s">
        <v>3796</v>
      </c>
      <c r="J223" t="s">
        <v>3797</v>
      </c>
      <c r="K223" t="s">
        <v>74</v>
      </c>
      <c r="L223" t="s">
        <v>74</v>
      </c>
      <c r="M223" t="s">
        <v>77</v>
      </c>
      <c r="N223" t="s">
        <v>381</v>
      </c>
      <c r="O223" t="s">
        <v>74</v>
      </c>
      <c r="P223" t="s">
        <v>74</v>
      </c>
      <c r="Q223" t="s">
        <v>74</v>
      </c>
      <c r="R223" t="s">
        <v>74</v>
      </c>
      <c r="S223" t="s">
        <v>74</v>
      </c>
      <c r="T223" t="s">
        <v>74</v>
      </c>
      <c r="U223" t="s">
        <v>3798</v>
      </c>
      <c r="V223" t="s">
        <v>74</v>
      </c>
      <c r="W223" t="s">
        <v>3799</v>
      </c>
      <c r="X223" t="s">
        <v>274</v>
      </c>
      <c r="Y223" t="s">
        <v>3800</v>
      </c>
      <c r="Z223" t="s">
        <v>74</v>
      </c>
      <c r="AA223" t="s">
        <v>3801</v>
      </c>
      <c r="AB223" t="s">
        <v>3802</v>
      </c>
      <c r="AC223" t="s">
        <v>74</v>
      </c>
      <c r="AD223" t="s">
        <v>74</v>
      </c>
      <c r="AE223" t="s">
        <v>74</v>
      </c>
      <c r="AF223" t="s">
        <v>74</v>
      </c>
      <c r="AG223">
        <v>44</v>
      </c>
      <c r="AH223">
        <v>0</v>
      </c>
      <c r="AI223">
        <v>0</v>
      </c>
      <c r="AJ223">
        <v>0</v>
      </c>
      <c r="AK223">
        <v>0</v>
      </c>
      <c r="AL223" t="s">
        <v>2239</v>
      </c>
      <c r="AM223" t="s">
        <v>2111</v>
      </c>
      <c r="AN223" t="s">
        <v>3803</v>
      </c>
      <c r="AO223" t="s">
        <v>74</v>
      </c>
      <c r="AP223" t="s">
        <v>74</v>
      </c>
      <c r="AQ223" t="s">
        <v>3804</v>
      </c>
      <c r="AR223" t="s">
        <v>74</v>
      </c>
      <c r="AS223" t="s">
        <v>74</v>
      </c>
      <c r="AT223" t="s">
        <v>74</v>
      </c>
      <c r="AU223">
        <v>2006</v>
      </c>
      <c r="AV223" t="s">
        <v>74</v>
      </c>
      <c r="AW223" t="s">
        <v>74</v>
      </c>
      <c r="AX223" t="s">
        <v>74</v>
      </c>
      <c r="AY223" t="s">
        <v>74</v>
      </c>
      <c r="AZ223" t="s">
        <v>74</v>
      </c>
      <c r="BA223" t="s">
        <v>74</v>
      </c>
      <c r="BB223">
        <v>203</v>
      </c>
      <c r="BC223">
        <v>219</v>
      </c>
      <c r="BD223" t="s">
        <v>74</v>
      </c>
      <c r="BE223" t="s">
        <v>3805</v>
      </c>
      <c r="BF223" t="str">
        <f>HYPERLINK("http://dx.doi.org/10.1017/CBO9780511543623.013","http://dx.doi.org/10.1017/CBO9780511543623.013")</f>
        <v>http://dx.doi.org/10.1017/CBO9780511543623.013</v>
      </c>
      <c r="BG223" t="s">
        <v>3806</v>
      </c>
      <c r="BH223" t="s">
        <v>74</v>
      </c>
      <c r="BI223">
        <v>17</v>
      </c>
      <c r="BJ223" t="s">
        <v>3807</v>
      </c>
      <c r="BK223" t="s">
        <v>392</v>
      </c>
      <c r="BL223" t="s">
        <v>3808</v>
      </c>
      <c r="BM223" t="s">
        <v>3809</v>
      </c>
      <c r="BN223" t="s">
        <v>74</v>
      </c>
      <c r="BO223" t="s">
        <v>74</v>
      </c>
      <c r="BP223" t="s">
        <v>74</v>
      </c>
      <c r="BQ223" t="s">
        <v>74</v>
      </c>
      <c r="BR223" t="s">
        <v>101</v>
      </c>
      <c r="BS223" t="s">
        <v>3810</v>
      </c>
      <c r="BT223" t="str">
        <f>HYPERLINK("https%3A%2F%2Fwww.webofscience.com%2Fwos%2Fwoscc%2Ffull-record%2FWOS:000296293500013","View Full Record in Web of Science")</f>
        <v>View Full Record in Web of Science</v>
      </c>
    </row>
    <row r="224" spans="1:72" x14ac:dyDescent="0.15">
      <c r="A224" t="s">
        <v>297</v>
      </c>
      <c r="B224" t="s">
        <v>3811</v>
      </c>
      <c r="C224" t="s">
        <v>74</v>
      </c>
      <c r="D224" t="s">
        <v>3812</v>
      </c>
      <c r="E224" t="s">
        <v>74</v>
      </c>
      <c r="F224" t="s">
        <v>3813</v>
      </c>
      <c r="G224" t="s">
        <v>74</v>
      </c>
      <c r="H224" t="s">
        <v>74</v>
      </c>
      <c r="I224" t="s">
        <v>3814</v>
      </c>
      <c r="J224" t="s">
        <v>3815</v>
      </c>
      <c r="K224" t="s">
        <v>303</v>
      </c>
      <c r="L224" t="s">
        <v>74</v>
      </c>
      <c r="M224" t="s">
        <v>77</v>
      </c>
      <c r="N224" t="s">
        <v>304</v>
      </c>
      <c r="O224" t="s">
        <v>3816</v>
      </c>
      <c r="P224" t="s">
        <v>1681</v>
      </c>
      <c r="Q224" t="s">
        <v>1644</v>
      </c>
      <c r="R224" t="s">
        <v>74</v>
      </c>
      <c r="S224" t="s">
        <v>74</v>
      </c>
      <c r="T224" t="s">
        <v>3817</v>
      </c>
      <c r="U224" t="s">
        <v>1683</v>
      </c>
      <c r="V224" t="s">
        <v>3818</v>
      </c>
      <c r="W224" t="s">
        <v>3819</v>
      </c>
      <c r="X224" t="s">
        <v>3820</v>
      </c>
      <c r="Y224" t="s">
        <v>3821</v>
      </c>
      <c r="Z224" t="s">
        <v>3822</v>
      </c>
      <c r="AA224" t="s">
        <v>74</v>
      </c>
      <c r="AB224" t="s">
        <v>74</v>
      </c>
      <c r="AC224" t="s">
        <v>3823</v>
      </c>
      <c r="AD224" t="s">
        <v>3823</v>
      </c>
      <c r="AE224" t="s">
        <v>3824</v>
      </c>
      <c r="AF224" t="s">
        <v>74</v>
      </c>
      <c r="AG224">
        <v>6</v>
      </c>
      <c r="AH224">
        <v>0</v>
      </c>
      <c r="AI224">
        <v>0</v>
      </c>
      <c r="AJ224">
        <v>1</v>
      </c>
      <c r="AK224">
        <v>5</v>
      </c>
      <c r="AL224" t="s">
        <v>318</v>
      </c>
      <c r="AM224" t="s">
        <v>319</v>
      </c>
      <c r="AN224" t="s">
        <v>320</v>
      </c>
      <c r="AO224" t="s">
        <v>321</v>
      </c>
      <c r="AP224" t="s">
        <v>322</v>
      </c>
      <c r="AQ224" t="s">
        <v>3825</v>
      </c>
      <c r="AR224" t="s">
        <v>324</v>
      </c>
      <c r="AS224" t="s">
        <v>74</v>
      </c>
      <c r="AT224" t="s">
        <v>74</v>
      </c>
      <c r="AU224">
        <v>2006</v>
      </c>
      <c r="AV224">
        <v>6273</v>
      </c>
      <c r="AW224" t="s">
        <v>74</v>
      </c>
      <c r="AX224" t="s">
        <v>1692</v>
      </c>
      <c r="AY224" t="s">
        <v>74</v>
      </c>
      <c r="AZ224" t="s">
        <v>74</v>
      </c>
      <c r="BA224" t="s">
        <v>74</v>
      </c>
      <c r="BB224" t="s">
        <v>74</v>
      </c>
      <c r="BC224" t="s">
        <v>74</v>
      </c>
      <c r="BD224">
        <v>627330</v>
      </c>
      <c r="BE224" t="s">
        <v>3826</v>
      </c>
      <c r="BF224" t="str">
        <f>HYPERLINK("http://dx.doi.org/10.1117/12.670813","http://dx.doi.org/10.1117/12.670813")</f>
        <v>http://dx.doi.org/10.1117/12.670813</v>
      </c>
      <c r="BG224" t="s">
        <v>74</v>
      </c>
      <c r="BH224" t="s">
        <v>74</v>
      </c>
      <c r="BI224">
        <v>8</v>
      </c>
      <c r="BJ224" t="s">
        <v>3827</v>
      </c>
      <c r="BK224" t="s">
        <v>328</v>
      </c>
      <c r="BL224" t="s">
        <v>3828</v>
      </c>
      <c r="BM224" t="s">
        <v>3829</v>
      </c>
      <c r="BN224" t="s">
        <v>74</v>
      </c>
      <c r="BO224" t="s">
        <v>74</v>
      </c>
      <c r="BP224" t="s">
        <v>74</v>
      </c>
      <c r="BQ224" t="s">
        <v>74</v>
      </c>
      <c r="BR224" t="s">
        <v>101</v>
      </c>
      <c r="BS224" t="s">
        <v>3830</v>
      </c>
      <c r="BT224" t="str">
        <f>HYPERLINK("https%3A%2F%2Fwww.webofscience.com%2Fwos%2Fwoscc%2Ffull-record%2FWOS:000240017700095","View Full Record in Web of Science")</f>
        <v>View Full Record in Web of Science</v>
      </c>
    </row>
    <row r="225" spans="1:72" x14ac:dyDescent="0.15">
      <c r="A225" t="s">
        <v>297</v>
      </c>
      <c r="B225" t="s">
        <v>3831</v>
      </c>
      <c r="C225" t="s">
        <v>74</v>
      </c>
      <c r="D225" t="s">
        <v>3812</v>
      </c>
      <c r="E225" t="s">
        <v>74</v>
      </c>
      <c r="F225" t="s">
        <v>3832</v>
      </c>
      <c r="G225" t="s">
        <v>74</v>
      </c>
      <c r="H225" t="s">
        <v>74</v>
      </c>
      <c r="I225" t="s">
        <v>3833</v>
      </c>
      <c r="J225" t="s">
        <v>3815</v>
      </c>
      <c r="K225" t="s">
        <v>303</v>
      </c>
      <c r="L225" t="s">
        <v>74</v>
      </c>
      <c r="M225" t="s">
        <v>77</v>
      </c>
      <c r="N225" t="s">
        <v>304</v>
      </c>
      <c r="O225" t="s">
        <v>3816</v>
      </c>
      <c r="P225" t="s">
        <v>1681</v>
      </c>
      <c r="Q225" t="s">
        <v>1644</v>
      </c>
      <c r="R225" t="s">
        <v>74</v>
      </c>
      <c r="S225" t="s">
        <v>74</v>
      </c>
      <c r="T225" t="s">
        <v>3834</v>
      </c>
      <c r="U225" t="s">
        <v>74</v>
      </c>
      <c r="V225" t="s">
        <v>3835</v>
      </c>
      <c r="W225" t="s">
        <v>3836</v>
      </c>
      <c r="X225" t="s">
        <v>3837</v>
      </c>
      <c r="Y225" t="s">
        <v>3838</v>
      </c>
      <c r="Z225" t="s">
        <v>3839</v>
      </c>
      <c r="AA225" t="s">
        <v>74</v>
      </c>
      <c r="AB225" t="s">
        <v>74</v>
      </c>
      <c r="AC225" t="s">
        <v>74</v>
      </c>
      <c r="AD225" t="s">
        <v>74</v>
      </c>
      <c r="AE225" t="s">
        <v>74</v>
      </c>
      <c r="AF225" t="s">
        <v>74</v>
      </c>
      <c r="AG225">
        <v>13</v>
      </c>
      <c r="AH225">
        <v>0</v>
      </c>
      <c r="AI225">
        <v>0</v>
      </c>
      <c r="AJ225">
        <v>0</v>
      </c>
      <c r="AK225">
        <v>1</v>
      </c>
      <c r="AL225" t="s">
        <v>318</v>
      </c>
      <c r="AM225" t="s">
        <v>319</v>
      </c>
      <c r="AN225" t="s">
        <v>320</v>
      </c>
      <c r="AO225" t="s">
        <v>321</v>
      </c>
      <c r="AP225" t="s">
        <v>74</v>
      </c>
      <c r="AQ225" t="s">
        <v>3825</v>
      </c>
      <c r="AR225" t="s">
        <v>324</v>
      </c>
      <c r="AS225" t="s">
        <v>74</v>
      </c>
      <c r="AT225" t="s">
        <v>74</v>
      </c>
      <c r="AU225">
        <v>2006</v>
      </c>
      <c r="AV225">
        <v>6273</v>
      </c>
      <c r="AW225" t="s">
        <v>74</v>
      </c>
      <c r="AX225" t="s">
        <v>1692</v>
      </c>
      <c r="AY225" t="s">
        <v>74</v>
      </c>
      <c r="AZ225" t="s">
        <v>74</v>
      </c>
      <c r="BA225" t="s">
        <v>74</v>
      </c>
      <c r="BB225" t="s">
        <v>74</v>
      </c>
      <c r="BC225" t="s">
        <v>74</v>
      </c>
      <c r="BD225" t="s">
        <v>3840</v>
      </c>
      <c r="BE225" t="s">
        <v>3841</v>
      </c>
      <c r="BF225" t="str">
        <f>HYPERLINK("http://dx.doi.org/10.1117/12.670850","http://dx.doi.org/10.1117/12.670850")</f>
        <v>http://dx.doi.org/10.1117/12.670850</v>
      </c>
      <c r="BG225" t="s">
        <v>74</v>
      </c>
      <c r="BH225" t="s">
        <v>74</v>
      </c>
      <c r="BI225">
        <v>14</v>
      </c>
      <c r="BJ225" t="s">
        <v>3827</v>
      </c>
      <c r="BK225" t="s">
        <v>328</v>
      </c>
      <c r="BL225" t="s">
        <v>3828</v>
      </c>
      <c r="BM225" t="s">
        <v>3829</v>
      </c>
      <c r="BN225" t="s">
        <v>74</v>
      </c>
      <c r="BO225" t="s">
        <v>74</v>
      </c>
      <c r="BP225" t="s">
        <v>74</v>
      </c>
      <c r="BQ225" t="s">
        <v>74</v>
      </c>
      <c r="BR225" t="s">
        <v>101</v>
      </c>
      <c r="BS225" t="s">
        <v>3842</v>
      </c>
      <c r="BT225" t="str">
        <f>HYPERLINK("https%3A%2F%2Fwww.webofscience.com%2Fwos%2Fwoscc%2Ffull-record%2FWOS:000240017700052","View Full Record in Web of Science")</f>
        <v>View Full Record in Web of Science</v>
      </c>
    </row>
    <row r="226" spans="1:72" x14ac:dyDescent="0.15">
      <c r="A226" t="s">
        <v>72</v>
      </c>
      <c r="B226" t="s">
        <v>3843</v>
      </c>
      <c r="C226" t="s">
        <v>74</v>
      </c>
      <c r="D226" t="s">
        <v>74</v>
      </c>
      <c r="E226" t="s">
        <v>74</v>
      </c>
      <c r="F226" t="s">
        <v>3843</v>
      </c>
      <c r="G226" t="s">
        <v>74</v>
      </c>
      <c r="H226" t="s">
        <v>74</v>
      </c>
      <c r="I226" t="s">
        <v>3844</v>
      </c>
      <c r="J226" t="s">
        <v>3845</v>
      </c>
      <c r="K226" t="s">
        <v>74</v>
      </c>
      <c r="L226" t="s">
        <v>74</v>
      </c>
      <c r="M226" t="s">
        <v>1333</v>
      </c>
      <c r="N226" t="s">
        <v>78</v>
      </c>
      <c r="O226" t="s">
        <v>74</v>
      </c>
      <c r="P226" t="s">
        <v>74</v>
      </c>
      <c r="Q226" t="s">
        <v>74</v>
      </c>
      <c r="R226" t="s">
        <v>74</v>
      </c>
      <c r="S226" t="s">
        <v>74</v>
      </c>
      <c r="T226" t="s">
        <v>3846</v>
      </c>
      <c r="U226" t="s">
        <v>74</v>
      </c>
      <c r="V226" t="s">
        <v>3847</v>
      </c>
      <c r="W226" t="s">
        <v>3848</v>
      </c>
      <c r="X226" t="s">
        <v>3849</v>
      </c>
      <c r="Y226" t="s">
        <v>3850</v>
      </c>
      <c r="Z226" t="s">
        <v>3851</v>
      </c>
      <c r="AA226" t="s">
        <v>3852</v>
      </c>
      <c r="AB226" t="s">
        <v>3853</v>
      </c>
      <c r="AC226" t="s">
        <v>74</v>
      </c>
      <c r="AD226" t="s">
        <v>74</v>
      </c>
      <c r="AE226" t="s">
        <v>74</v>
      </c>
      <c r="AF226" t="s">
        <v>74</v>
      </c>
      <c r="AG226">
        <v>30</v>
      </c>
      <c r="AH226">
        <v>7</v>
      </c>
      <c r="AI226">
        <v>7</v>
      </c>
      <c r="AJ226">
        <v>0</v>
      </c>
      <c r="AK226">
        <v>2</v>
      </c>
      <c r="AL226" t="s">
        <v>3854</v>
      </c>
      <c r="AM226" t="s">
        <v>3855</v>
      </c>
      <c r="AN226" t="s">
        <v>3856</v>
      </c>
      <c r="AO226" t="s">
        <v>3857</v>
      </c>
      <c r="AP226" t="s">
        <v>74</v>
      </c>
      <c r="AQ226" t="s">
        <v>74</v>
      </c>
      <c r="AR226" t="s">
        <v>3858</v>
      </c>
      <c r="AS226" t="s">
        <v>3859</v>
      </c>
      <c r="AT226" t="s">
        <v>74</v>
      </c>
      <c r="AU226">
        <v>2006</v>
      </c>
      <c r="AV226">
        <v>17</v>
      </c>
      <c r="AW226">
        <v>1</v>
      </c>
      <c r="AX226" t="s">
        <v>74</v>
      </c>
      <c r="AY226" t="s">
        <v>74</v>
      </c>
      <c r="AZ226" t="s">
        <v>74</v>
      </c>
      <c r="BA226" t="s">
        <v>74</v>
      </c>
      <c r="BB226">
        <v>81</v>
      </c>
      <c r="BC226">
        <v>94</v>
      </c>
      <c r="BD226" t="s">
        <v>74</v>
      </c>
      <c r="BE226" t="s">
        <v>74</v>
      </c>
      <c r="BF226" t="s">
        <v>74</v>
      </c>
      <c r="BG226" t="s">
        <v>74</v>
      </c>
      <c r="BH226" t="s">
        <v>74</v>
      </c>
      <c r="BI226">
        <v>14</v>
      </c>
      <c r="BJ226" t="s">
        <v>1178</v>
      </c>
      <c r="BK226" t="s">
        <v>98</v>
      </c>
      <c r="BL226" t="s">
        <v>532</v>
      </c>
      <c r="BM226" t="s">
        <v>3860</v>
      </c>
      <c r="BN226" t="s">
        <v>74</v>
      </c>
      <c r="BO226" t="s">
        <v>74</v>
      </c>
      <c r="BP226" t="s">
        <v>74</v>
      </c>
      <c r="BQ226" t="s">
        <v>74</v>
      </c>
      <c r="BR226" t="s">
        <v>101</v>
      </c>
      <c r="BS226" t="s">
        <v>3861</v>
      </c>
      <c r="BT226" t="str">
        <f>HYPERLINK("https%3A%2F%2Fwww.webofscience.com%2Fwos%2Fwoscc%2Ffull-record%2FWOS:000235828100008","View Full Record in Web of Science")</f>
        <v>View Full Record in Web of Science</v>
      </c>
    </row>
    <row r="227" spans="1:72" x14ac:dyDescent="0.15">
      <c r="A227" t="s">
        <v>577</v>
      </c>
      <c r="B227" t="s">
        <v>3862</v>
      </c>
      <c r="C227" t="s">
        <v>74</v>
      </c>
      <c r="D227" t="s">
        <v>3863</v>
      </c>
      <c r="E227" t="s">
        <v>74</v>
      </c>
      <c r="F227" t="s">
        <v>3864</v>
      </c>
      <c r="G227" t="s">
        <v>74</v>
      </c>
      <c r="H227" t="s">
        <v>74</v>
      </c>
      <c r="I227" t="s">
        <v>3865</v>
      </c>
      <c r="J227" t="s">
        <v>3866</v>
      </c>
      <c r="K227" t="s">
        <v>1285</v>
      </c>
      <c r="L227" t="s">
        <v>74</v>
      </c>
      <c r="M227" t="s">
        <v>77</v>
      </c>
      <c r="N227" t="s">
        <v>381</v>
      </c>
      <c r="O227" t="s">
        <v>74</v>
      </c>
      <c r="P227" t="s">
        <v>74</v>
      </c>
      <c r="Q227" t="s">
        <v>74</v>
      </c>
      <c r="R227" t="s">
        <v>74</v>
      </c>
      <c r="S227" t="s">
        <v>74</v>
      </c>
      <c r="T227" t="s">
        <v>3867</v>
      </c>
      <c r="U227" t="s">
        <v>3868</v>
      </c>
      <c r="V227" t="s">
        <v>3869</v>
      </c>
      <c r="W227" t="s">
        <v>3870</v>
      </c>
      <c r="X227" t="s">
        <v>3871</v>
      </c>
      <c r="Y227" t="s">
        <v>3872</v>
      </c>
      <c r="Z227" t="s">
        <v>74</v>
      </c>
      <c r="AA227" t="s">
        <v>3873</v>
      </c>
      <c r="AB227" t="s">
        <v>74</v>
      </c>
      <c r="AC227" t="s">
        <v>3874</v>
      </c>
      <c r="AD227" t="s">
        <v>3875</v>
      </c>
      <c r="AE227" t="s">
        <v>74</v>
      </c>
      <c r="AF227" t="s">
        <v>74</v>
      </c>
      <c r="AG227">
        <v>61</v>
      </c>
      <c r="AH227">
        <v>10</v>
      </c>
      <c r="AI227">
        <v>11</v>
      </c>
      <c r="AJ227">
        <v>0</v>
      </c>
      <c r="AK227">
        <v>6</v>
      </c>
      <c r="AL227" t="s">
        <v>1295</v>
      </c>
      <c r="AM227" t="s">
        <v>605</v>
      </c>
      <c r="AN227" t="s">
        <v>1296</v>
      </c>
      <c r="AO227" t="s">
        <v>1297</v>
      </c>
      <c r="AP227" t="s">
        <v>74</v>
      </c>
      <c r="AQ227" t="s">
        <v>3876</v>
      </c>
      <c r="AR227" t="s">
        <v>1299</v>
      </c>
      <c r="AS227" t="s">
        <v>74</v>
      </c>
      <c r="AT227" t="s">
        <v>74</v>
      </c>
      <c r="AU227">
        <v>2006</v>
      </c>
      <c r="AV227" t="s">
        <v>74</v>
      </c>
      <c r="AW227">
        <v>416</v>
      </c>
      <c r="AX227" t="s">
        <v>74</v>
      </c>
      <c r="AY227" t="s">
        <v>74</v>
      </c>
      <c r="AZ227" t="s">
        <v>74</v>
      </c>
      <c r="BA227" t="s">
        <v>74</v>
      </c>
      <c r="BB227">
        <v>89</v>
      </c>
      <c r="BC227">
        <v>103</v>
      </c>
      <c r="BD227" t="s">
        <v>74</v>
      </c>
      <c r="BE227" t="s">
        <v>3877</v>
      </c>
      <c r="BF227" t="str">
        <f>HYPERLINK("http://dx.doi.org/10.1130/2006.2416(06)","http://dx.doi.org/10.1130/2006.2416(06)")</f>
        <v>http://dx.doi.org/10.1130/2006.2416(06)</v>
      </c>
      <c r="BG227" t="s">
        <v>74</v>
      </c>
      <c r="BH227" t="s">
        <v>74</v>
      </c>
      <c r="BI227">
        <v>15</v>
      </c>
      <c r="BJ227" t="s">
        <v>3878</v>
      </c>
      <c r="BK227" t="s">
        <v>609</v>
      </c>
      <c r="BL227" t="s">
        <v>3879</v>
      </c>
      <c r="BM227" t="s">
        <v>3880</v>
      </c>
      <c r="BN227" t="s">
        <v>74</v>
      </c>
      <c r="BO227" t="s">
        <v>74</v>
      </c>
      <c r="BP227" t="s">
        <v>74</v>
      </c>
      <c r="BQ227" t="s">
        <v>74</v>
      </c>
      <c r="BR227" t="s">
        <v>101</v>
      </c>
      <c r="BS227" t="s">
        <v>3881</v>
      </c>
      <c r="BT227" t="str">
        <f>HYPERLINK("https%3A%2F%2Fwww.webofscience.com%2Fwos%2Fwoscc%2Ffull-record%2FWOS:000272343100007","View Full Record in Web of Science")</f>
        <v>View Full Record in Web of Science</v>
      </c>
    </row>
    <row r="228" spans="1:72" x14ac:dyDescent="0.15">
      <c r="A228" t="s">
        <v>297</v>
      </c>
      <c r="B228" t="s">
        <v>3882</v>
      </c>
      <c r="C228" t="s">
        <v>74</v>
      </c>
      <c r="D228" t="s">
        <v>3883</v>
      </c>
      <c r="E228" t="s">
        <v>74</v>
      </c>
      <c r="F228" t="s">
        <v>3884</v>
      </c>
      <c r="G228" t="s">
        <v>74</v>
      </c>
      <c r="H228" t="s">
        <v>3885</v>
      </c>
      <c r="I228" t="s">
        <v>3886</v>
      </c>
      <c r="J228" t="s">
        <v>3887</v>
      </c>
      <c r="K228" t="s">
        <v>1448</v>
      </c>
      <c r="L228" t="s">
        <v>74</v>
      </c>
      <c r="M228" t="s">
        <v>77</v>
      </c>
      <c r="N228" t="s">
        <v>304</v>
      </c>
      <c r="O228" t="s">
        <v>3888</v>
      </c>
      <c r="P228" t="s">
        <v>3889</v>
      </c>
      <c r="Q228" t="s">
        <v>3890</v>
      </c>
      <c r="R228" t="s">
        <v>74</v>
      </c>
      <c r="S228" t="s">
        <v>74</v>
      </c>
      <c r="T228" t="s">
        <v>3891</v>
      </c>
      <c r="U228" t="s">
        <v>3892</v>
      </c>
      <c r="V228" t="s">
        <v>3893</v>
      </c>
      <c r="W228" t="s">
        <v>3894</v>
      </c>
      <c r="X228" t="s">
        <v>3895</v>
      </c>
      <c r="Y228" t="s">
        <v>3896</v>
      </c>
      <c r="Z228" t="s">
        <v>74</v>
      </c>
      <c r="AA228" t="s">
        <v>74</v>
      </c>
      <c r="AB228" t="s">
        <v>74</v>
      </c>
      <c r="AC228" t="s">
        <v>74</v>
      </c>
      <c r="AD228" t="s">
        <v>74</v>
      </c>
      <c r="AE228" t="s">
        <v>74</v>
      </c>
      <c r="AF228" t="s">
        <v>74</v>
      </c>
      <c r="AG228">
        <v>25</v>
      </c>
      <c r="AH228">
        <v>0</v>
      </c>
      <c r="AI228">
        <v>0</v>
      </c>
      <c r="AJ228">
        <v>0</v>
      </c>
      <c r="AK228">
        <v>0</v>
      </c>
      <c r="AL228" t="s">
        <v>1459</v>
      </c>
      <c r="AM228" t="s">
        <v>1460</v>
      </c>
      <c r="AN228" t="s">
        <v>1461</v>
      </c>
      <c r="AO228" t="s">
        <v>1462</v>
      </c>
      <c r="AP228" t="s">
        <v>74</v>
      </c>
      <c r="AQ228" t="s">
        <v>3897</v>
      </c>
      <c r="AR228" t="s">
        <v>1464</v>
      </c>
      <c r="AS228" t="s">
        <v>74</v>
      </c>
      <c r="AT228" t="s">
        <v>74</v>
      </c>
      <c r="AU228">
        <v>2006</v>
      </c>
      <c r="AV228">
        <v>842</v>
      </c>
      <c r="AW228" t="s">
        <v>74</v>
      </c>
      <c r="AX228" t="s">
        <v>74</v>
      </c>
      <c r="AY228" t="s">
        <v>74</v>
      </c>
      <c r="AZ228" t="s">
        <v>74</v>
      </c>
      <c r="BA228" t="s">
        <v>74</v>
      </c>
      <c r="BB228">
        <v>977</v>
      </c>
      <c r="BC228">
        <v>979</v>
      </c>
      <c r="BD228" t="s">
        <v>74</v>
      </c>
      <c r="BE228" t="s">
        <v>74</v>
      </c>
      <c r="BF228" t="s">
        <v>74</v>
      </c>
      <c r="BG228" t="s">
        <v>74</v>
      </c>
      <c r="BH228" t="s">
        <v>74</v>
      </c>
      <c r="BI228">
        <v>3</v>
      </c>
      <c r="BJ228" t="s">
        <v>3898</v>
      </c>
      <c r="BK228" t="s">
        <v>328</v>
      </c>
      <c r="BL228" t="s">
        <v>3899</v>
      </c>
      <c r="BM228" t="s">
        <v>3900</v>
      </c>
      <c r="BN228" t="s">
        <v>74</v>
      </c>
      <c r="BO228" t="s">
        <v>74</v>
      </c>
      <c r="BP228" t="s">
        <v>74</v>
      </c>
      <c r="BQ228" t="s">
        <v>74</v>
      </c>
      <c r="BR228" t="s">
        <v>101</v>
      </c>
      <c r="BS228" t="s">
        <v>3901</v>
      </c>
      <c r="BT228" t="str">
        <f>HYPERLINK("https%3A%2F%2Fwww.webofscience.com%2Fwos%2Fwoscc%2Ffull-record%2FWOS:000241182200257","View Full Record in Web of Science")</f>
        <v>View Full Record in Web of Science</v>
      </c>
    </row>
    <row r="229" spans="1:72" x14ac:dyDescent="0.15">
      <c r="A229" t="s">
        <v>72</v>
      </c>
      <c r="B229" t="s">
        <v>3902</v>
      </c>
      <c r="C229" t="s">
        <v>74</v>
      </c>
      <c r="D229" t="s">
        <v>74</v>
      </c>
      <c r="E229" t="s">
        <v>74</v>
      </c>
      <c r="F229" t="s">
        <v>3903</v>
      </c>
      <c r="G229" t="s">
        <v>74</v>
      </c>
      <c r="H229" t="s">
        <v>74</v>
      </c>
      <c r="I229" t="s">
        <v>3904</v>
      </c>
      <c r="J229" t="s">
        <v>3905</v>
      </c>
      <c r="K229" t="s">
        <v>74</v>
      </c>
      <c r="L229" t="s">
        <v>74</v>
      </c>
      <c r="M229" t="s">
        <v>77</v>
      </c>
      <c r="N229" t="s">
        <v>335</v>
      </c>
      <c r="O229" t="s">
        <v>3906</v>
      </c>
      <c r="P229" t="s">
        <v>3907</v>
      </c>
      <c r="Q229" t="s">
        <v>3908</v>
      </c>
      <c r="R229" t="s">
        <v>74</v>
      </c>
      <c r="S229" t="s">
        <v>74</v>
      </c>
      <c r="T229" t="s">
        <v>3909</v>
      </c>
      <c r="U229" t="s">
        <v>3910</v>
      </c>
      <c r="V229" t="s">
        <v>3911</v>
      </c>
      <c r="W229" t="s">
        <v>3912</v>
      </c>
      <c r="X229" t="s">
        <v>3419</v>
      </c>
      <c r="Y229" t="s">
        <v>3913</v>
      </c>
      <c r="Z229" t="s">
        <v>3914</v>
      </c>
      <c r="AA229" t="s">
        <v>74</v>
      </c>
      <c r="AB229" t="s">
        <v>74</v>
      </c>
      <c r="AC229" t="s">
        <v>74</v>
      </c>
      <c r="AD229" t="s">
        <v>74</v>
      </c>
      <c r="AE229" t="s">
        <v>74</v>
      </c>
      <c r="AF229" t="s">
        <v>74</v>
      </c>
      <c r="AG229">
        <v>8</v>
      </c>
      <c r="AH229">
        <v>0</v>
      </c>
      <c r="AI229">
        <v>0</v>
      </c>
      <c r="AJ229">
        <v>0</v>
      </c>
      <c r="AK229">
        <v>0</v>
      </c>
      <c r="AL229" t="s">
        <v>622</v>
      </c>
      <c r="AM229" t="s">
        <v>140</v>
      </c>
      <c r="AN229" t="s">
        <v>623</v>
      </c>
      <c r="AO229" t="s">
        <v>3915</v>
      </c>
      <c r="AP229" t="s">
        <v>3916</v>
      </c>
      <c r="AQ229" t="s">
        <v>74</v>
      </c>
      <c r="AR229" t="s">
        <v>3917</v>
      </c>
      <c r="AS229" t="s">
        <v>3918</v>
      </c>
      <c r="AT229" t="s">
        <v>74</v>
      </c>
      <c r="AU229">
        <v>2006</v>
      </c>
      <c r="AV229">
        <v>31</v>
      </c>
      <c r="AW229" t="s">
        <v>1655</v>
      </c>
      <c r="AX229" t="s">
        <v>74</v>
      </c>
      <c r="AY229" t="s">
        <v>74</v>
      </c>
      <c r="AZ229" t="s">
        <v>74</v>
      </c>
      <c r="BA229" t="s">
        <v>74</v>
      </c>
      <c r="BB229">
        <v>94</v>
      </c>
      <c r="BC229">
        <v>98</v>
      </c>
      <c r="BD229" t="s">
        <v>74</v>
      </c>
      <c r="BE229" t="s">
        <v>3919</v>
      </c>
      <c r="BF229" t="str">
        <f>HYPERLINK("http://dx.doi.org/10.1016/j.pce.2005.04.005","http://dx.doi.org/10.1016/j.pce.2005.04.005")</f>
        <v>http://dx.doi.org/10.1016/j.pce.2005.04.005</v>
      </c>
      <c r="BG229" t="s">
        <v>74</v>
      </c>
      <c r="BH229" t="s">
        <v>74</v>
      </c>
      <c r="BI229">
        <v>5</v>
      </c>
      <c r="BJ229" t="s">
        <v>3920</v>
      </c>
      <c r="BK229" t="s">
        <v>1411</v>
      </c>
      <c r="BL229" t="s">
        <v>3921</v>
      </c>
      <c r="BM229" t="s">
        <v>3922</v>
      </c>
      <c r="BN229" t="s">
        <v>74</v>
      </c>
      <c r="BO229" t="s">
        <v>74</v>
      </c>
      <c r="BP229" t="s">
        <v>74</v>
      </c>
      <c r="BQ229" t="s">
        <v>74</v>
      </c>
      <c r="BR229" t="s">
        <v>101</v>
      </c>
      <c r="BS229" t="s">
        <v>3923</v>
      </c>
      <c r="BT229" t="str">
        <f>HYPERLINK("https%3A%2F%2Fwww.webofscience.com%2Fwos%2Fwoscc%2Ffull-record%2FWOS:000238075500016","View Full Record in Web of Science")</f>
        <v>View Full Record in Web of Science</v>
      </c>
    </row>
    <row r="230" spans="1:72" x14ac:dyDescent="0.15">
      <c r="A230" t="s">
        <v>72</v>
      </c>
      <c r="B230" t="s">
        <v>3924</v>
      </c>
      <c r="C230" t="s">
        <v>74</v>
      </c>
      <c r="D230" t="s">
        <v>74</v>
      </c>
      <c r="E230" t="s">
        <v>74</v>
      </c>
      <c r="F230" t="s">
        <v>3925</v>
      </c>
      <c r="G230" t="s">
        <v>74</v>
      </c>
      <c r="H230" t="s">
        <v>74</v>
      </c>
      <c r="I230" t="s">
        <v>3926</v>
      </c>
      <c r="J230" t="s">
        <v>3927</v>
      </c>
      <c r="K230" t="s">
        <v>74</v>
      </c>
      <c r="L230" t="s">
        <v>74</v>
      </c>
      <c r="M230" t="s">
        <v>77</v>
      </c>
      <c r="N230" t="s">
        <v>78</v>
      </c>
      <c r="O230" t="s">
        <v>74</v>
      </c>
      <c r="P230" t="s">
        <v>74</v>
      </c>
      <c r="Q230" t="s">
        <v>74</v>
      </c>
      <c r="R230" t="s">
        <v>74</v>
      </c>
      <c r="S230" t="s">
        <v>74</v>
      </c>
      <c r="T230" t="s">
        <v>3928</v>
      </c>
      <c r="U230" t="s">
        <v>3929</v>
      </c>
      <c r="V230" t="s">
        <v>3930</v>
      </c>
      <c r="W230" t="s">
        <v>3931</v>
      </c>
      <c r="X230" t="s">
        <v>788</v>
      </c>
      <c r="Y230" t="s">
        <v>3932</v>
      </c>
      <c r="Z230" t="s">
        <v>3933</v>
      </c>
      <c r="AA230" t="s">
        <v>3934</v>
      </c>
      <c r="AB230" t="s">
        <v>3935</v>
      </c>
      <c r="AC230" t="s">
        <v>3936</v>
      </c>
      <c r="AD230" t="s">
        <v>735</v>
      </c>
      <c r="AE230" t="s">
        <v>74</v>
      </c>
      <c r="AF230" t="s">
        <v>74</v>
      </c>
      <c r="AG230">
        <v>100</v>
      </c>
      <c r="AH230">
        <v>103</v>
      </c>
      <c r="AI230">
        <v>110</v>
      </c>
      <c r="AJ230">
        <v>4</v>
      </c>
      <c r="AK230">
        <v>83</v>
      </c>
      <c r="AL230" t="s">
        <v>88</v>
      </c>
      <c r="AM230" t="s">
        <v>162</v>
      </c>
      <c r="AN230" t="s">
        <v>163</v>
      </c>
      <c r="AO230" t="s">
        <v>3937</v>
      </c>
      <c r="AP230" t="s">
        <v>3938</v>
      </c>
      <c r="AQ230" t="s">
        <v>74</v>
      </c>
      <c r="AR230" t="s">
        <v>3939</v>
      </c>
      <c r="AS230" t="s">
        <v>3940</v>
      </c>
      <c r="AT230" t="s">
        <v>95</v>
      </c>
      <c r="AU230">
        <v>2006</v>
      </c>
      <c r="AV230">
        <v>182</v>
      </c>
      <c r="AW230" t="s">
        <v>485</v>
      </c>
      <c r="AX230" t="s">
        <v>74</v>
      </c>
      <c r="AY230" t="s">
        <v>74</v>
      </c>
      <c r="AZ230" t="s">
        <v>74</v>
      </c>
      <c r="BA230" t="s">
        <v>74</v>
      </c>
      <c r="BB230">
        <v>1</v>
      </c>
      <c r="BC230">
        <v>10</v>
      </c>
      <c r="BD230" t="s">
        <v>74</v>
      </c>
      <c r="BE230" t="s">
        <v>3941</v>
      </c>
      <c r="BF230" t="str">
        <f>HYPERLINK("http://dx.doi.org/10.1007/s11258-005-9022-2","http://dx.doi.org/10.1007/s11258-005-9022-2")</f>
        <v>http://dx.doi.org/10.1007/s11258-005-9022-2</v>
      </c>
      <c r="BG230" t="s">
        <v>74</v>
      </c>
      <c r="BH230" t="s">
        <v>74</v>
      </c>
      <c r="BI230">
        <v>10</v>
      </c>
      <c r="BJ230" t="s">
        <v>3942</v>
      </c>
      <c r="BK230" t="s">
        <v>98</v>
      </c>
      <c r="BL230" t="s">
        <v>3943</v>
      </c>
      <c r="BM230" t="s">
        <v>3944</v>
      </c>
      <c r="BN230" t="s">
        <v>74</v>
      </c>
      <c r="BO230" t="s">
        <v>74</v>
      </c>
      <c r="BP230" t="s">
        <v>74</v>
      </c>
      <c r="BQ230" t="s">
        <v>74</v>
      </c>
      <c r="BR230" t="s">
        <v>101</v>
      </c>
      <c r="BS230" t="s">
        <v>3945</v>
      </c>
      <c r="BT230" t="str">
        <f>HYPERLINK("https%3A%2F%2Fwww.webofscience.com%2Fwos%2Fwoscc%2Ffull-record%2FWOS:000238344200001","View Full Record in Web of Science")</f>
        <v>View Full Record in Web of Science</v>
      </c>
    </row>
    <row r="231" spans="1:72" x14ac:dyDescent="0.15">
      <c r="A231" t="s">
        <v>72</v>
      </c>
      <c r="B231" t="s">
        <v>3946</v>
      </c>
      <c r="C231" t="s">
        <v>74</v>
      </c>
      <c r="D231" t="s">
        <v>74</v>
      </c>
      <c r="E231" t="s">
        <v>74</v>
      </c>
      <c r="F231" t="s">
        <v>3947</v>
      </c>
      <c r="G231" t="s">
        <v>74</v>
      </c>
      <c r="H231" t="s">
        <v>74</v>
      </c>
      <c r="I231" t="s">
        <v>3948</v>
      </c>
      <c r="J231" t="s">
        <v>3927</v>
      </c>
      <c r="K231" t="s">
        <v>74</v>
      </c>
      <c r="L231" t="s">
        <v>74</v>
      </c>
      <c r="M231" t="s">
        <v>77</v>
      </c>
      <c r="N231" t="s">
        <v>78</v>
      </c>
      <c r="O231" t="s">
        <v>74</v>
      </c>
      <c r="P231" t="s">
        <v>74</v>
      </c>
      <c r="Q231" t="s">
        <v>74</v>
      </c>
      <c r="R231" t="s">
        <v>74</v>
      </c>
      <c r="S231" t="s">
        <v>74</v>
      </c>
      <c r="T231" t="s">
        <v>3949</v>
      </c>
      <c r="U231" t="s">
        <v>3950</v>
      </c>
      <c r="V231" t="s">
        <v>3951</v>
      </c>
      <c r="W231" t="s">
        <v>3952</v>
      </c>
      <c r="X231" t="s">
        <v>3953</v>
      </c>
      <c r="Y231" t="s">
        <v>3954</v>
      </c>
      <c r="Z231" t="s">
        <v>3955</v>
      </c>
      <c r="AA231" t="s">
        <v>3956</v>
      </c>
      <c r="AB231" t="s">
        <v>3957</v>
      </c>
      <c r="AC231" t="s">
        <v>74</v>
      </c>
      <c r="AD231" t="s">
        <v>74</v>
      </c>
      <c r="AE231" t="s">
        <v>74</v>
      </c>
      <c r="AF231" t="s">
        <v>74</v>
      </c>
      <c r="AG231">
        <v>16</v>
      </c>
      <c r="AH231">
        <v>19</v>
      </c>
      <c r="AI231">
        <v>27</v>
      </c>
      <c r="AJ231">
        <v>1</v>
      </c>
      <c r="AK231">
        <v>27</v>
      </c>
      <c r="AL231" t="s">
        <v>88</v>
      </c>
      <c r="AM231" t="s">
        <v>162</v>
      </c>
      <c r="AN231" t="s">
        <v>163</v>
      </c>
      <c r="AO231" t="s">
        <v>3937</v>
      </c>
      <c r="AP231" t="s">
        <v>74</v>
      </c>
      <c r="AQ231" t="s">
        <v>74</v>
      </c>
      <c r="AR231" t="s">
        <v>3939</v>
      </c>
      <c r="AS231" t="s">
        <v>3940</v>
      </c>
      <c r="AT231" t="s">
        <v>95</v>
      </c>
      <c r="AU231">
        <v>2006</v>
      </c>
      <c r="AV231">
        <v>182</v>
      </c>
      <c r="AW231" t="s">
        <v>485</v>
      </c>
      <c r="AX231" t="s">
        <v>74</v>
      </c>
      <c r="AY231" t="s">
        <v>74</v>
      </c>
      <c r="AZ231" t="s">
        <v>74</v>
      </c>
      <c r="BA231" t="s">
        <v>74</v>
      </c>
      <c r="BB231">
        <v>79</v>
      </c>
      <c r="BC231">
        <v>86</v>
      </c>
      <c r="BD231" t="s">
        <v>74</v>
      </c>
      <c r="BE231" t="s">
        <v>3958</v>
      </c>
      <c r="BF231" t="str">
        <f>HYPERLINK("http://dx.doi.org/10.1007/s11258-005-9032-0","http://dx.doi.org/10.1007/s11258-005-9032-0")</f>
        <v>http://dx.doi.org/10.1007/s11258-005-9032-0</v>
      </c>
      <c r="BG231" t="s">
        <v>74</v>
      </c>
      <c r="BH231" t="s">
        <v>74</v>
      </c>
      <c r="BI231">
        <v>8</v>
      </c>
      <c r="BJ231" t="s">
        <v>3942</v>
      </c>
      <c r="BK231" t="s">
        <v>98</v>
      </c>
      <c r="BL231" t="s">
        <v>3943</v>
      </c>
      <c r="BM231" t="s">
        <v>3944</v>
      </c>
      <c r="BN231" t="s">
        <v>74</v>
      </c>
      <c r="BO231" t="s">
        <v>74</v>
      </c>
      <c r="BP231" t="s">
        <v>74</v>
      </c>
      <c r="BQ231" t="s">
        <v>74</v>
      </c>
      <c r="BR231" t="s">
        <v>101</v>
      </c>
      <c r="BS231" t="s">
        <v>3959</v>
      </c>
      <c r="BT231" t="str">
        <f>HYPERLINK("https%3A%2F%2Fwww.webofscience.com%2Fwos%2Fwoscc%2Ffull-record%2FWOS:000238344200006","View Full Record in Web of Science")</f>
        <v>View Full Record in Web of Science</v>
      </c>
    </row>
    <row r="232" spans="1:72" x14ac:dyDescent="0.15">
      <c r="A232" t="s">
        <v>72</v>
      </c>
      <c r="B232" t="s">
        <v>3960</v>
      </c>
      <c r="C232" t="s">
        <v>74</v>
      </c>
      <c r="D232" t="s">
        <v>74</v>
      </c>
      <c r="E232" t="s">
        <v>74</v>
      </c>
      <c r="F232" t="s">
        <v>3961</v>
      </c>
      <c r="G232" t="s">
        <v>74</v>
      </c>
      <c r="H232" t="s">
        <v>74</v>
      </c>
      <c r="I232" t="s">
        <v>3962</v>
      </c>
      <c r="J232" t="s">
        <v>3927</v>
      </c>
      <c r="K232" t="s">
        <v>74</v>
      </c>
      <c r="L232" t="s">
        <v>74</v>
      </c>
      <c r="M232" t="s">
        <v>77</v>
      </c>
      <c r="N232" t="s">
        <v>78</v>
      </c>
      <c r="O232" t="s">
        <v>74</v>
      </c>
      <c r="P232" t="s">
        <v>74</v>
      </c>
      <c r="Q232" t="s">
        <v>74</v>
      </c>
      <c r="R232" t="s">
        <v>74</v>
      </c>
      <c r="S232" t="s">
        <v>74</v>
      </c>
      <c r="T232" t="s">
        <v>3963</v>
      </c>
      <c r="U232" t="s">
        <v>3964</v>
      </c>
      <c r="V232" t="s">
        <v>3965</v>
      </c>
      <c r="W232" t="s">
        <v>3966</v>
      </c>
      <c r="X232" t="s">
        <v>3967</v>
      </c>
      <c r="Y232" t="s">
        <v>3968</v>
      </c>
      <c r="Z232" t="s">
        <v>3969</v>
      </c>
      <c r="AA232" t="s">
        <v>74</v>
      </c>
      <c r="AB232" t="s">
        <v>3970</v>
      </c>
      <c r="AC232" t="s">
        <v>74</v>
      </c>
      <c r="AD232" t="s">
        <v>74</v>
      </c>
      <c r="AE232" t="s">
        <v>74</v>
      </c>
      <c r="AF232" t="s">
        <v>74</v>
      </c>
      <c r="AG232">
        <v>61</v>
      </c>
      <c r="AH232">
        <v>36</v>
      </c>
      <c r="AI232">
        <v>44</v>
      </c>
      <c r="AJ232">
        <v>0</v>
      </c>
      <c r="AK232">
        <v>32</v>
      </c>
      <c r="AL232" t="s">
        <v>88</v>
      </c>
      <c r="AM232" t="s">
        <v>162</v>
      </c>
      <c r="AN232" t="s">
        <v>163</v>
      </c>
      <c r="AO232" t="s">
        <v>3937</v>
      </c>
      <c r="AP232" t="s">
        <v>3938</v>
      </c>
      <c r="AQ232" t="s">
        <v>74</v>
      </c>
      <c r="AR232" t="s">
        <v>3939</v>
      </c>
      <c r="AS232" t="s">
        <v>3940</v>
      </c>
      <c r="AT232" t="s">
        <v>95</v>
      </c>
      <c r="AU232">
        <v>2006</v>
      </c>
      <c r="AV232">
        <v>182</v>
      </c>
      <c r="AW232" t="s">
        <v>485</v>
      </c>
      <c r="AX232" t="s">
        <v>74</v>
      </c>
      <c r="AY232" t="s">
        <v>74</v>
      </c>
      <c r="AZ232" t="s">
        <v>74</v>
      </c>
      <c r="BA232" t="s">
        <v>74</v>
      </c>
      <c r="BB232">
        <v>137</v>
      </c>
      <c r="BC232">
        <v>152</v>
      </c>
      <c r="BD232" t="s">
        <v>74</v>
      </c>
      <c r="BE232" t="s">
        <v>3971</v>
      </c>
      <c r="BF232" t="str">
        <f>HYPERLINK("http://dx.doi.org/10.1007/s11258-005-9023-1","http://dx.doi.org/10.1007/s11258-005-9023-1")</f>
        <v>http://dx.doi.org/10.1007/s11258-005-9023-1</v>
      </c>
      <c r="BG232" t="s">
        <v>74</v>
      </c>
      <c r="BH232" t="s">
        <v>74</v>
      </c>
      <c r="BI232">
        <v>16</v>
      </c>
      <c r="BJ232" t="s">
        <v>3942</v>
      </c>
      <c r="BK232" t="s">
        <v>98</v>
      </c>
      <c r="BL232" t="s">
        <v>3943</v>
      </c>
      <c r="BM232" t="s">
        <v>3944</v>
      </c>
      <c r="BN232" t="s">
        <v>74</v>
      </c>
      <c r="BO232" t="s">
        <v>74</v>
      </c>
      <c r="BP232" t="s">
        <v>74</v>
      </c>
      <c r="BQ232" t="s">
        <v>74</v>
      </c>
      <c r="BR232" t="s">
        <v>101</v>
      </c>
      <c r="BS232" t="s">
        <v>3972</v>
      </c>
      <c r="BT232" t="str">
        <f>HYPERLINK("https%3A%2F%2Fwww.webofscience.com%2Fwos%2Fwoscc%2Ffull-record%2FWOS:000238344200010","View Full Record in Web of Science")</f>
        <v>View Full Record in Web of Science</v>
      </c>
    </row>
    <row r="233" spans="1:72" x14ac:dyDescent="0.15">
      <c r="A233" t="s">
        <v>72</v>
      </c>
      <c r="B233" t="s">
        <v>3973</v>
      </c>
      <c r="C233" t="s">
        <v>74</v>
      </c>
      <c r="D233" t="s">
        <v>74</v>
      </c>
      <c r="E233" t="s">
        <v>74</v>
      </c>
      <c r="F233" t="s">
        <v>3973</v>
      </c>
      <c r="G233" t="s">
        <v>74</v>
      </c>
      <c r="H233" t="s">
        <v>74</v>
      </c>
      <c r="I233" t="s">
        <v>3974</v>
      </c>
      <c r="J233" t="s">
        <v>3975</v>
      </c>
      <c r="K233" t="s">
        <v>74</v>
      </c>
      <c r="L233" t="s">
        <v>74</v>
      </c>
      <c r="M233" t="s">
        <v>77</v>
      </c>
      <c r="N233" t="s">
        <v>78</v>
      </c>
      <c r="O233" t="s">
        <v>74</v>
      </c>
      <c r="P233" t="s">
        <v>74</v>
      </c>
      <c r="Q233" t="s">
        <v>74</v>
      </c>
      <c r="R233" t="s">
        <v>74</v>
      </c>
      <c r="S233" t="s">
        <v>74</v>
      </c>
      <c r="T233" t="s">
        <v>74</v>
      </c>
      <c r="U233" t="s">
        <v>3976</v>
      </c>
      <c r="V233" t="s">
        <v>3977</v>
      </c>
      <c r="W233" t="s">
        <v>3978</v>
      </c>
      <c r="X233" t="s">
        <v>3979</v>
      </c>
      <c r="Y233" t="s">
        <v>3980</v>
      </c>
      <c r="Z233" t="s">
        <v>3981</v>
      </c>
      <c r="AA233" t="s">
        <v>3982</v>
      </c>
      <c r="AB233" t="s">
        <v>3983</v>
      </c>
      <c r="AC233" t="s">
        <v>74</v>
      </c>
      <c r="AD233" t="s">
        <v>74</v>
      </c>
      <c r="AE233" t="s">
        <v>74</v>
      </c>
      <c r="AF233" t="s">
        <v>74</v>
      </c>
      <c r="AG233">
        <v>48</v>
      </c>
      <c r="AH233">
        <v>49</v>
      </c>
      <c r="AI233">
        <v>51</v>
      </c>
      <c r="AJ233">
        <v>0</v>
      </c>
      <c r="AK233">
        <v>26</v>
      </c>
      <c r="AL233" t="s">
        <v>88</v>
      </c>
      <c r="AM233" t="s">
        <v>89</v>
      </c>
      <c r="AN233" t="s">
        <v>3984</v>
      </c>
      <c r="AO233" t="s">
        <v>3985</v>
      </c>
      <c r="AP233" t="s">
        <v>3986</v>
      </c>
      <c r="AQ233" t="s">
        <v>74</v>
      </c>
      <c r="AR233" t="s">
        <v>3987</v>
      </c>
      <c r="AS233" t="s">
        <v>3988</v>
      </c>
      <c r="AT233" t="s">
        <v>95</v>
      </c>
      <c r="AU233">
        <v>2006</v>
      </c>
      <c r="AV233">
        <v>29</v>
      </c>
      <c r="AW233">
        <v>2</v>
      </c>
      <c r="AX233" t="s">
        <v>74</v>
      </c>
      <c r="AY233" t="s">
        <v>74</v>
      </c>
      <c r="AZ233" t="s">
        <v>74</v>
      </c>
      <c r="BA233" t="s">
        <v>74</v>
      </c>
      <c r="BB233">
        <v>83</v>
      </c>
      <c r="BC233">
        <v>96</v>
      </c>
      <c r="BD233" t="s">
        <v>74</v>
      </c>
      <c r="BE233" t="s">
        <v>3989</v>
      </c>
      <c r="BF233" t="str">
        <f>HYPERLINK("http://dx.doi.org/10.1007/s00300-005-0047-8","http://dx.doi.org/10.1007/s00300-005-0047-8")</f>
        <v>http://dx.doi.org/10.1007/s00300-005-0047-8</v>
      </c>
      <c r="BG233" t="s">
        <v>74</v>
      </c>
      <c r="BH233" t="s">
        <v>74</v>
      </c>
      <c r="BI233">
        <v>14</v>
      </c>
      <c r="BJ233" t="s">
        <v>3990</v>
      </c>
      <c r="BK233" t="s">
        <v>98</v>
      </c>
      <c r="BL233" t="s">
        <v>147</v>
      </c>
      <c r="BM233" t="s">
        <v>3991</v>
      </c>
      <c r="BN233" t="s">
        <v>74</v>
      </c>
      <c r="BO233" t="s">
        <v>3992</v>
      </c>
      <c r="BP233" t="s">
        <v>74</v>
      </c>
      <c r="BQ233" t="s">
        <v>74</v>
      </c>
      <c r="BR233" t="s">
        <v>101</v>
      </c>
      <c r="BS233" t="s">
        <v>3993</v>
      </c>
      <c r="BT233" t="str">
        <f>HYPERLINK("https%3A%2F%2Fwww.webofscience.com%2Fwos%2Fwoscc%2Ffull-record%2FWOS:000234732100002","View Full Record in Web of Science")</f>
        <v>View Full Record in Web of Science</v>
      </c>
    </row>
    <row r="234" spans="1:72" x14ac:dyDescent="0.15">
      <c r="A234" t="s">
        <v>72</v>
      </c>
      <c r="B234" t="s">
        <v>3994</v>
      </c>
      <c r="C234" t="s">
        <v>74</v>
      </c>
      <c r="D234" t="s">
        <v>74</v>
      </c>
      <c r="E234" t="s">
        <v>74</v>
      </c>
      <c r="F234" t="s">
        <v>3994</v>
      </c>
      <c r="G234" t="s">
        <v>74</v>
      </c>
      <c r="H234" t="s">
        <v>74</v>
      </c>
      <c r="I234" t="s">
        <v>3995</v>
      </c>
      <c r="J234" t="s">
        <v>3975</v>
      </c>
      <c r="K234" t="s">
        <v>74</v>
      </c>
      <c r="L234" t="s">
        <v>74</v>
      </c>
      <c r="M234" t="s">
        <v>77</v>
      </c>
      <c r="N234" t="s">
        <v>78</v>
      </c>
      <c r="O234" t="s">
        <v>74</v>
      </c>
      <c r="P234" t="s">
        <v>74</v>
      </c>
      <c r="Q234" t="s">
        <v>74</v>
      </c>
      <c r="R234" t="s">
        <v>74</v>
      </c>
      <c r="S234" t="s">
        <v>74</v>
      </c>
      <c r="T234" t="s">
        <v>74</v>
      </c>
      <c r="U234" t="s">
        <v>3996</v>
      </c>
      <c r="V234" t="s">
        <v>3997</v>
      </c>
      <c r="W234" t="s">
        <v>3998</v>
      </c>
      <c r="X234" t="s">
        <v>3999</v>
      </c>
      <c r="Y234" t="s">
        <v>904</v>
      </c>
      <c r="Z234" t="s">
        <v>905</v>
      </c>
      <c r="AA234" t="s">
        <v>74</v>
      </c>
      <c r="AB234" t="s">
        <v>4000</v>
      </c>
      <c r="AC234" t="s">
        <v>74</v>
      </c>
      <c r="AD234" t="s">
        <v>74</v>
      </c>
      <c r="AE234" t="s">
        <v>74</v>
      </c>
      <c r="AF234" t="s">
        <v>74</v>
      </c>
      <c r="AG234">
        <v>33</v>
      </c>
      <c r="AH234">
        <v>12</v>
      </c>
      <c r="AI234">
        <v>13</v>
      </c>
      <c r="AJ234">
        <v>0</v>
      </c>
      <c r="AK234">
        <v>7</v>
      </c>
      <c r="AL234" t="s">
        <v>88</v>
      </c>
      <c r="AM234" t="s">
        <v>89</v>
      </c>
      <c r="AN234" t="s">
        <v>4001</v>
      </c>
      <c r="AO234" t="s">
        <v>3985</v>
      </c>
      <c r="AP234" t="s">
        <v>74</v>
      </c>
      <c r="AQ234" t="s">
        <v>74</v>
      </c>
      <c r="AR234" t="s">
        <v>3987</v>
      </c>
      <c r="AS234" t="s">
        <v>3988</v>
      </c>
      <c r="AT234" t="s">
        <v>95</v>
      </c>
      <c r="AU234">
        <v>2006</v>
      </c>
      <c r="AV234">
        <v>29</v>
      </c>
      <c r="AW234">
        <v>2</v>
      </c>
      <c r="AX234" t="s">
        <v>74</v>
      </c>
      <c r="AY234" t="s">
        <v>74</v>
      </c>
      <c r="AZ234" t="s">
        <v>74</v>
      </c>
      <c r="BA234" t="s">
        <v>74</v>
      </c>
      <c r="BB234">
        <v>97</v>
      </c>
      <c r="BC234">
        <v>105</v>
      </c>
      <c r="BD234" t="s">
        <v>74</v>
      </c>
      <c r="BE234" t="s">
        <v>4002</v>
      </c>
      <c r="BF234" t="str">
        <f>HYPERLINK("http://dx.doi.org/10.1007/s00300-005-0012-6","http://dx.doi.org/10.1007/s00300-005-0012-6")</f>
        <v>http://dx.doi.org/10.1007/s00300-005-0012-6</v>
      </c>
      <c r="BG234" t="s">
        <v>74</v>
      </c>
      <c r="BH234" t="s">
        <v>74</v>
      </c>
      <c r="BI234">
        <v>9</v>
      </c>
      <c r="BJ234" t="s">
        <v>3990</v>
      </c>
      <c r="BK234" t="s">
        <v>98</v>
      </c>
      <c r="BL234" t="s">
        <v>147</v>
      </c>
      <c r="BM234" t="s">
        <v>3991</v>
      </c>
      <c r="BN234" t="s">
        <v>74</v>
      </c>
      <c r="BO234" t="s">
        <v>534</v>
      </c>
      <c r="BP234" t="s">
        <v>74</v>
      </c>
      <c r="BQ234" t="s">
        <v>74</v>
      </c>
      <c r="BR234" t="s">
        <v>101</v>
      </c>
      <c r="BS234" t="s">
        <v>4003</v>
      </c>
      <c r="BT234" t="str">
        <f>HYPERLINK("https%3A%2F%2Fwww.webofscience.com%2Fwos%2Fwoscc%2Ffull-record%2FWOS:000234732100003","View Full Record in Web of Science")</f>
        <v>View Full Record in Web of Science</v>
      </c>
    </row>
    <row r="235" spans="1:72" x14ac:dyDescent="0.15">
      <c r="A235" t="s">
        <v>72</v>
      </c>
      <c r="B235" t="s">
        <v>4004</v>
      </c>
      <c r="C235" t="s">
        <v>74</v>
      </c>
      <c r="D235" t="s">
        <v>74</v>
      </c>
      <c r="E235" t="s">
        <v>74</v>
      </c>
      <c r="F235" t="s">
        <v>4004</v>
      </c>
      <c r="G235" t="s">
        <v>74</v>
      </c>
      <c r="H235" t="s">
        <v>74</v>
      </c>
      <c r="I235" t="s">
        <v>4005</v>
      </c>
      <c r="J235" t="s">
        <v>3975</v>
      </c>
      <c r="K235" t="s">
        <v>74</v>
      </c>
      <c r="L235" t="s">
        <v>74</v>
      </c>
      <c r="M235" t="s">
        <v>77</v>
      </c>
      <c r="N235" t="s">
        <v>78</v>
      </c>
      <c r="O235" t="s">
        <v>74</v>
      </c>
      <c r="P235" t="s">
        <v>74</v>
      </c>
      <c r="Q235" t="s">
        <v>74</v>
      </c>
      <c r="R235" t="s">
        <v>74</v>
      </c>
      <c r="S235" t="s">
        <v>74</v>
      </c>
      <c r="T235" t="s">
        <v>74</v>
      </c>
      <c r="U235" t="s">
        <v>4006</v>
      </c>
      <c r="V235" t="s">
        <v>4007</v>
      </c>
      <c r="W235" t="s">
        <v>4008</v>
      </c>
      <c r="X235" t="s">
        <v>4009</v>
      </c>
      <c r="Y235" t="s">
        <v>4010</v>
      </c>
      <c r="Z235" t="s">
        <v>4011</v>
      </c>
      <c r="AA235" t="s">
        <v>4012</v>
      </c>
      <c r="AB235" t="s">
        <v>4013</v>
      </c>
      <c r="AC235" t="s">
        <v>74</v>
      </c>
      <c r="AD235" t="s">
        <v>74</v>
      </c>
      <c r="AE235" t="s">
        <v>74</v>
      </c>
      <c r="AF235" t="s">
        <v>74</v>
      </c>
      <c r="AG235">
        <v>59</v>
      </c>
      <c r="AH235">
        <v>28</v>
      </c>
      <c r="AI235">
        <v>28</v>
      </c>
      <c r="AJ235">
        <v>1</v>
      </c>
      <c r="AK235">
        <v>17</v>
      </c>
      <c r="AL235" t="s">
        <v>88</v>
      </c>
      <c r="AM235" t="s">
        <v>89</v>
      </c>
      <c r="AN235" t="s">
        <v>3984</v>
      </c>
      <c r="AO235" t="s">
        <v>3985</v>
      </c>
      <c r="AP235" t="s">
        <v>74</v>
      </c>
      <c r="AQ235" t="s">
        <v>74</v>
      </c>
      <c r="AR235" t="s">
        <v>3987</v>
      </c>
      <c r="AS235" t="s">
        <v>3988</v>
      </c>
      <c r="AT235" t="s">
        <v>95</v>
      </c>
      <c r="AU235">
        <v>2006</v>
      </c>
      <c r="AV235">
        <v>29</v>
      </c>
      <c r="AW235">
        <v>2</v>
      </c>
      <c r="AX235" t="s">
        <v>74</v>
      </c>
      <c r="AY235" t="s">
        <v>74</v>
      </c>
      <c r="AZ235" t="s">
        <v>74</v>
      </c>
      <c r="BA235" t="s">
        <v>74</v>
      </c>
      <c r="BB235">
        <v>106</v>
      </c>
      <c r="BC235">
        <v>113</v>
      </c>
      <c r="BD235" t="s">
        <v>74</v>
      </c>
      <c r="BE235" t="s">
        <v>4014</v>
      </c>
      <c r="BF235" t="str">
        <f>HYPERLINK("http://dx.doi.org/10.1007/s00300-005-0071-8","http://dx.doi.org/10.1007/s00300-005-0071-8")</f>
        <v>http://dx.doi.org/10.1007/s00300-005-0071-8</v>
      </c>
      <c r="BG235" t="s">
        <v>74</v>
      </c>
      <c r="BH235" t="s">
        <v>74</v>
      </c>
      <c r="BI235">
        <v>8</v>
      </c>
      <c r="BJ235" t="s">
        <v>3990</v>
      </c>
      <c r="BK235" t="s">
        <v>98</v>
      </c>
      <c r="BL235" t="s">
        <v>147</v>
      </c>
      <c r="BM235" t="s">
        <v>3991</v>
      </c>
      <c r="BN235" t="s">
        <v>74</v>
      </c>
      <c r="BO235" t="s">
        <v>534</v>
      </c>
      <c r="BP235" t="s">
        <v>74</v>
      </c>
      <c r="BQ235" t="s">
        <v>74</v>
      </c>
      <c r="BR235" t="s">
        <v>101</v>
      </c>
      <c r="BS235" t="s">
        <v>4015</v>
      </c>
      <c r="BT235" t="str">
        <f>HYPERLINK("https%3A%2F%2Fwww.webofscience.com%2Fwos%2Fwoscc%2Ffull-record%2FWOS:000234732100004","View Full Record in Web of Science")</f>
        <v>View Full Record in Web of Science</v>
      </c>
    </row>
    <row r="236" spans="1:72" x14ac:dyDescent="0.15">
      <c r="A236" t="s">
        <v>72</v>
      </c>
      <c r="B236" t="s">
        <v>2908</v>
      </c>
      <c r="C236" t="s">
        <v>74</v>
      </c>
      <c r="D236" t="s">
        <v>74</v>
      </c>
      <c r="E236" t="s">
        <v>74</v>
      </c>
      <c r="F236" t="s">
        <v>2908</v>
      </c>
      <c r="G236" t="s">
        <v>74</v>
      </c>
      <c r="H236" t="s">
        <v>74</v>
      </c>
      <c r="I236" t="s">
        <v>4016</v>
      </c>
      <c r="J236" t="s">
        <v>3975</v>
      </c>
      <c r="K236" t="s">
        <v>74</v>
      </c>
      <c r="L236" t="s">
        <v>74</v>
      </c>
      <c r="M236" t="s">
        <v>77</v>
      </c>
      <c r="N236" t="s">
        <v>78</v>
      </c>
      <c r="O236" t="s">
        <v>74</v>
      </c>
      <c r="P236" t="s">
        <v>74</v>
      </c>
      <c r="Q236" t="s">
        <v>74</v>
      </c>
      <c r="R236" t="s">
        <v>74</v>
      </c>
      <c r="S236" t="s">
        <v>74</v>
      </c>
      <c r="T236" t="s">
        <v>74</v>
      </c>
      <c r="U236" t="s">
        <v>4017</v>
      </c>
      <c r="V236" t="s">
        <v>4018</v>
      </c>
      <c r="W236" t="s">
        <v>801</v>
      </c>
      <c r="X236" t="s">
        <v>788</v>
      </c>
      <c r="Y236" t="s">
        <v>761</v>
      </c>
      <c r="Z236" t="s">
        <v>931</v>
      </c>
      <c r="AA236" t="s">
        <v>74</v>
      </c>
      <c r="AB236" t="s">
        <v>74</v>
      </c>
      <c r="AC236" t="s">
        <v>74</v>
      </c>
      <c r="AD236" t="s">
        <v>74</v>
      </c>
      <c r="AE236" t="s">
        <v>74</v>
      </c>
      <c r="AF236" t="s">
        <v>74</v>
      </c>
      <c r="AG236">
        <v>33</v>
      </c>
      <c r="AH236">
        <v>13</v>
      </c>
      <c r="AI236">
        <v>13</v>
      </c>
      <c r="AJ236">
        <v>0</v>
      </c>
      <c r="AK236">
        <v>4</v>
      </c>
      <c r="AL236" t="s">
        <v>88</v>
      </c>
      <c r="AM236" t="s">
        <v>89</v>
      </c>
      <c r="AN236" t="s">
        <v>4001</v>
      </c>
      <c r="AO236" t="s">
        <v>3985</v>
      </c>
      <c r="AP236" t="s">
        <v>74</v>
      </c>
      <c r="AQ236" t="s">
        <v>74</v>
      </c>
      <c r="AR236" t="s">
        <v>3987</v>
      </c>
      <c r="AS236" t="s">
        <v>3988</v>
      </c>
      <c r="AT236" t="s">
        <v>95</v>
      </c>
      <c r="AU236">
        <v>2006</v>
      </c>
      <c r="AV236">
        <v>29</v>
      </c>
      <c r="AW236">
        <v>2</v>
      </c>
      <c r="AX236" t="s">
        <v>74</v>
      </c>
      <c r="AY236" t="s">
        <v>74</v>
      </c>
      <c r="AZ236" t="s">
        <v>74</v>
      </c>
      <c r="BA236" t="s">
        <v>74</v>
      </c>
      <c r="BB236">
        <v>114</v>
      </c>
      <c r="BC236">
        <v>119</v>
      </c>
      <c r="BD236" t="s">
        <v>74</v>
      </c>
      <c r="BE236" t="s">
        <v>4019</v>
      </c>
      <c r="BF236" t="str">
        <f>HYPERLINK("http://dx.doi.org/10.1007/s00300-005-0015-3","http://dx.doi.org/10.1007/s00300-005-0015-3")</f>
        <v>http://dx.doi.org/10.1007/s00300-005-0015-3</v>
      </c>
      <c r="BG236" t="s">
        <v>74</v>
      </c>
      <c r="BH236" t="s">
        <v>74</v>
      </c>
      <c r="BI236">
        <v>6</v>
      </c>
      <c r="BJ236" t="s">
        <v>3990</v>
      </c>
      <c r="BK236" t="s">
        <v>98</v>
      </c>
      <c r="BL236" t="s">
        <v>147</v>
      </c>
      <c r="BM236" t="s">
        <v>3991</v>
      </c>
      <c r="BN236" t="s">
        <v>74</v>
      </c>
      <c r="BO236" t="s">
        <v>74</v>
      </c>
      <c r="BP236" t="s">
        <v>74</v>
      </c>
      <c r="BQ236" t="s">
        <v>74</v>
      </c>
      <c r="BR236" t="s">
        <v>101</v>
      </c>
      <c r="BS236" t="s">
        <v>4020</v>
      </c>
      <c r="BT236" t="str">
        <f>HYPERLINK("https%3A%2F%2Fwww.webofscience.com%2Fwos%2Fwoscc%2Ffull-record%2FWOS:000234732100005","View Full Record in Web of Science")</f>
        <v>View Full Record in Web of Science</v>
      </c>
    </row>
    <row r="237" spans="1:72" x14ac:dyDescent="0.15">
      <c r="A237" t="s">
        <v>72</v>
      </c>
      <c r="B237" t="s">
        <v>4021</v>
      </c>
      <c r="C237" t="s">
        <v>74</v>
      </c>
      <c r="D237" t="s">
        <v>74</v>
      </c>
      <c r="E237" t="s">
        <v>74</v>
      </c>
      <c r="F237" t="s">
        <v>4021</v>
      </c>
      <c r="G237" t="s">
        <v>74</v>
      </c>
      <c r="H237" t="s">
        <v>74</v>
      </c>
      <c r="I237" t="s">
        <v>4022</v>
      </c>
      <c r="J237" t="s">
        <v>3975</v>
      </c>
      <c r="K237" t="s">
        <v>74</v>
      </c>
      <c r="L237" t="s">
        <v>74</v>
      </c>
      <c r="M237" t="s">
        <v>77</v>
      </c>
      <c r="N237" t="s">
        <v>78</v>
      </c>
      <c r="O237" t="s">
        <v>74</v>
      </c>
      <c r="P237" t="s">
        <v>74</v>
      </c>
      <c r="Q237" t="s">
        <v>74</v>
      </c>
      <c r="R237" t="s">
        <v>74</v>
      </c>
      <c r="S237" t="s">
        <v>74</v>
      </c>
      <c r="T237" t="s">
        <v>74</v>
      </c>
      <c r="U237" t="s">
        <v>4023</v>
      </c>
      <c r="V237" t="s">
        <v>4024</v>
      </c>
      <c r="W237" t="s">
        <v>801</v>
      </c>
      <c r="X237" t="s">
        <v>788</v>
      </c>
      <c r="Y237" t="s">
        <v>802</v>
      </c>
      <c r="Z237" t="s">
        <v>803</v>
      </c>
      <c r="AA237" t="s">
        <v>74</v>
      </c>
      <c r="AB237" t="s">
        <v>804</v>
      </c>
      <c r="AC237" t="s">
        <v>4025</v>
      </c>
      <c r="AD237" t="s">
        <v>1015</v>
      </c>
      <c r="AE237" t="s">
        <v>74</v>
      </c>
      <c r="AF237" t="s">
        <v>74</v>
      </c>
      <c r="AG237">
        <v>51</v>
      </c>
      <c r="AH237">
        <v>15</v>
      </c>
      <c r="AI237">
        <v>18</v>
      </c>
      <c r="AJ237">
        <v>0</v>
      </c>
      <c r="AK237">
        <v>2</v>
      </c>
      <c r="AL237" t="s">
        <v>88</v>
      </c>
      <c r="AM237" t="s">
        <v>89</v>
      </c>
      <c r="AN237" t="s">
        <v>90</v>
      </c>
      <c r="AO237" t="s">
        <v>3985</v>
      </c>
      <c r="AP237" t="s">
        <v>3986</v>
      </c>
      <c r="AQ237" t="s">
        <v>74</v>
      </c>
      <c r="AR237" t="s">
        <v>3987</v>
      </c>
      <c r="AS237" t="s">
        <v>3988</v>
      </c>
      <c r="AT237" t="s">
        <v>95</v>
      </c>
      <c r="AU237">
        <v>2006</v>
      </c>
      <c r="AV237">
        <v>29</v>
      </c>
      <c r="AW237">
        <v>2</v>
      </c>
      <c r="AX237" t="s">
        <v>74</v>
      </c>
      <c r="AY237" t="s">
        <v>74</v>
      </c>
      <c r="AZ237" t="s">
        <v>74</v>
      </c>
      <c r="BA237" t="s">
        <v>74</v>
      </c>
      <c r="BB237">
        <v>120</v>
      </c>
      <c r="BC237">
        <v>127</v>
      </c>
      <c r="BD237" t="s">
        <v>74</v>
      </c>
      <c r="BE237" t="s">
        <v>4026</v>
      </c>
      <c r="BF237" t="str">
        <f>HYPERLINK("http://dx.doi.org/10.1007/s00300-005-0721-x","http://dx.doi.org/10.1007/s00300-005-0721-x")</f>
        <v>http://dx.doi.org/10.1007/s00300-005-0721-x</v>
      </c>
      <c r="BG237" t="s">
        <v>74</v>
      </c>
      <c r="BH237" t="s">
        <v>74</v>
      </c>
      <c r="BI237">
        <v>8</v>
      </c>
      <c r="BJ237" t="s">
        <v>3990</v>
      </c>
      <c r="BK237" t="s">
        <v>98</v>
      </c>
      <c r="BL237" t="s">
        <v>147</v>
      </c>
      <c r="BM237" t="s">
        <v>3991</v>
      </c>
      <c r="BN237" t="s">
        <v>74</v>
      </c>
      <c r="BO237" t="s">
        <v>74</v>
      </c>
      <c r="BP237" t="s">
        <v>74</v>
      </c>
      <c r="BQ237" t="s">
        <v>74</v>
      </c>
      <c r="BR237" t="s">
        <v>101</v>
      </c>
      <c r="BS237" t="s">
        <v>4027</v>
      </c>
      <c r="BT237" t="str">
        <f>HYPERLINK("https%3A%2F%2Fwww.webofscience.com%2Fwos%2Fwoscc%2Ffull-record%2FWOS:000234732100006","View Full Record in Web of Science")</f>
        <v>View Full Record in Web of Science</v>
      </c>
    </row>
    <row r="238" spans="1:72" x14ac:dyDescent="0.15">
      <c r="A238" t="s">
        <v>72</v>
      </c>
      <c r="B238" t="s">
        <v>4028</v>
      </c>
      <c r="C238" t="s">
        <v>74</v>
      </c>
      <c r="D238" t="s">
        <v>74</v>
      </c>
      <c r="E238" t="s">
        <v>74</v>
      </c>
      <c r="F238" t="s">
        <v>4028</v>
      </c>
      <c r="G238" t="s">
        <v>74</v>
      </c>
      <c r="H238" t="s">
        <v>74</v>
      </c>
      <c r="I238" t="s">
        <v>4029</v>
      </c>
      <c r="J238" t="s">
        <v>3975</v>
      </c>
      <c r="K238" t="s">
        <v>74</v>
      </c>
      <c r="L238" t="s">
        <v>74</v>
      </c>
      <c r="M238" t="s">
        <v>77</v>
      </c>
      <c r="N238" t="s">
        <v>78</v>
      </c>
      <c r="O238" t="s">
        <v>74</v>
      </c>
      <c r="P238" t="s">
        <v>74</v>
      </c>
      <c r="Q238" t="s">
        <v>74</v>
      </c>
      <c r="R238" t="s">
        <v>74</v>
      </c>
      <c r="S238" t="s">
        <v>74</v>
      </c>
      <c r="T238" t="s">
        <v>74</v>
      </c>
      <c r="U238" t="s">
        <v>4030</v>
      </c>
      <c r="V238" t="s">
        <v>4031</v>
      </c>
      <c r="W238" t="s">
        <v>4032</v>
      </c>
      <c r="X238" t="s">
        <v>4033</v>
      </c>
      <c r="Y238" t="s">
        <v>4034</v>
      </c>
      <c r="Z238" t="s">
        <v>4035</v>
      </c>
      <c r="AA238" t="s">
        <v>4036</v>
      </c>
      <c r="AB238" t="s">
        <v>4037</v>
      </c>
      <c r="AC238" t="s">
        <v>74</v>
      </c>
      <c r="AD238" t="s">
        <v>74</v>
      </c>
      <c r="AE238" t="s">
        <v>74</v>
      </c>
      <c r="AF238" t="s">
        <v>74</v>
      </c>
      <c r="AG238">
        <v>14</v>
      </c>
      <c r="AH238">
        <v>10</v>
      </c>
      <c r="AI238">
        <v>11</v>
      </c>
      <c r="AJ238">
        <v>0</v>
      </c>
      <c r="AK238">
        <v>2</v>
      </c>
      <c r="AL238" t="s">
        <v>88</v>
      </c>
      <c r="AM238" t="s">
        <v>89</v>
      </c>
      <c r="AN238" t="s">
        <v>4001</v>
      </c>
      <c r="AO238" t="s">
        <v>3985</v>
      </c>
      <c r="AP238" t="s">
        <v>74</v>
      </c>
      <c r="AQ238" t="s">
        <v>74</v>
      </c>
      <c r="AR238" t="s">
        <v>3987</v>
      </c>
      <c r="AS238" t="s">
        <v>3988</v>
      </c>
      <c r="AT238" t="s">
        <v>95</v>
      </c>
      <c r="AU238">
        <v>2006</v>
      </c>
      <c r="AV238">
        <v>29</v>
      </c>
      <c r="AW238">
        <v>2</v>
      </c>
      <c r="AX238" t="s">
        <v>74</v>
      </c>
      <c r="AY238" t="s">
        <v>74</v>
      </c>
      <c r="AZ238" t="s">
        <v>74</v>
      </c>
      <c r="BA238" t="s">
        <v>74</v>
      </c>
      <c r="BB238">
        <v>128</v>
      </c>
      <c r="BC238">
        <v>136</v>
      </c>
      <c r="BD238" t="s">
        <v>74</v>
      </c>
      <c r="BE238" t="s">
        <v>4038</v>
      </c>
      <c r="BF238" t="str">
        <f>HYPERLINK("http://dx.doi.org/10.1007/s00300-005-0059-4","http://dx.doi.org/10.1007/s00300-005-0059-4")</f>
        <v>http://dx.doi.org/10.1007/s00300-005-0059-4</v>
      </c>
      <c r="BG238" t="s">
        <v>74</v>
      </c>
      <c r="BH238" t="s">
        <v>74</v>
      </c>
      <c r="BI238">
        <v>9</v>
      </c>
      <c r="BJ238" t="s">
        <v>3990</v>
      </c>
      <c r="BK238" t="s">
        <v>98</v>
      </c>
      <c r="BL238" t="s">
        <v>147</v>
      </c>
      <c r="BM238" t="s">
        <v>3991</v>
      </c>
      <c r="BN238" t="s">
        <v>74</v>
      </c>
      <c r="BO238" t="s">
        <v>534</v>
      </c>
      <c r="BP238" t="s">
        <v>74</v>
      </c>
      <c r="BQ238" t="s">
        <v>74</v>
      </c>
      <c r="BR238" t="s">
        <v>101</v>
      </c>
      <c r="BS238" t="s">
        <v>4039</v>
      </c>
      <c r="BT238" t="str">
        <f>HYPERLINK("https%3A%2F%2Fwww.webofscience.com%2Fwos%2Fwoscc%2Ffull-record%2FWOS:000234732100007","View Full Record in Web of Science")</f>
        <v>View Full Record in Web of Science</v>
      </c>
    </row>
    <row r="239" spans="1:72" x14ac:dyDescent="0.15">
      <c r="A239" t="s">
        <v>72</v>
      </c>
      <c r="B239" t="s">
        <v>4040</v>
      </c>
      <c r="C239" t="s">
        <v>74</v>
      </c>
      <c r="D239" t="s">
        <v>74</v>
      </c>
      <c r="E239" t="s">
        <v>74</v>
      </c>
      <c r="F239" t="s">
        <v>4040</v>
      </c>
      <c r="G239" t="s">
        <v>74</v>
      </c>
      <c r="H239" t="s">
        <v>74</v>
      </c>
      <c r="I239" t="s">
        <v>4041</v>
      </c>
      <c r="J239" t="s">
        <v>4042</v>
      </c>
      <c r="K239" t="s">
        <v>74</v>
      </c>
      <c r="L239" t="s">
        <v>74</v>
      </c>
      <c r="M239" t="s">
        <v>77</v>
      </c>
      <c r="N239" t="s">
        <v>78</v>
      </c>
      <c r="O239" t="s">
        <v>74</v>
      </c>
      <c r="P239" t="s">
        <v>74</v>
      </c>
      <c r="Q239" t="s">
        <v>74</v>
      </c>
      <c r="R239" t="s">
        <v>74</v>
      </c>
      <c r="S239" t="s">
        <v>74</v>
      </c>
      <c r="T239" t="s">
        <v>74</v>
      </c>
      <c r="U239" t="s">
        <v>4043</v>
      </c>
      <c r="V239" t="s">
        <v>4044</v>
      </c>
      <c r="W239" t="s">
        <v>4045</v>
      </c>
      <c r="X239" t="s">
        <v>74</v>
      </c>
      <c r="Y239" t="s">
        <v>4046</v>
      </c>
      <c r="Z239" t="s">
        <v>74</v>
      </c>
      <c r="AA239" t="s">
        <v>74</v>
      </c>
      <c r="AB239" t="s">
        <v>74</v>
      </c>
      <c r="AC239" t="s">
        <v>74</v>
      </c>
      <c r="AD239" t="s">
        <v>74</v>
      </c>
      <c r="AE239" t="s">
        <v>74</v>
      </c>
      <c r="AF239" t="s">
        <v>74</v>
      </c>
      <c r="AG239">
        <v>22</v>
      </c>
      <c r="AH239">
        <v>24</v>
      </c>
      <c r="AI239">
        <v>35</v>
      </c>
      <c r="AJ239">
        <v>2</v>
      </c>
      <c r="AK239">
        <v>41</v>
      </c>
      <c r="AL239" t="s">
        <v>2239</v>
      </c>
      <c r="AM239" t="s">
        <v>89</v>
      </c>
      <c r="AN239" t="s">
        <v>4047</v>
      </c>
      <c r="AO239" t="s">
        <v>4048</v>
      </c>
      <c r="AP239" t="s">
        <v>4049</v>
      </c>
      <c r="AQ239" t="s">
        <v>74</v>
      </c>
      <c r="AR239" t="s">
        <v>4050</v>
      </c>
      <c r="AS239" t="s">
        <v>4051</v>
      </c>
      <c r="AT239" t="s">
        <v>95</v>
      </c>
      <c r="AU239">
        <v>2006</v>
      </c>
      <c r="AV239">
        <v>42</v>
      </c>
      <c r="AW239">
        <v>220</v>
      </c>
      <c r="AX239" t="s">
        <v>74</v>
      </c>
      <c r="AY239" t="s">
        <v>74</v>
      </c>
      <c r="AZ239" t="s">
        <v>74</v>
      </c>
      <c r="BA239" t="s">
        <v>74</v>
      </c>
      <c r="BB239">
        <v>43</v>
      </c>
      <c r="BC239">
        <v>49</v>
      </c>
      <c r="BD239" t="s">
        <v>74</v>
      </c>
      <c r="BE239" t="s">
        <v>4052</v>
      </c>
      <c r="BF239" t="str">
        <f>HYPERLINK("http://dx.doi.org/10.1017/S0032247405004900","http://dx.doi.org/10.1017/S0032247405004900")</f>
        <v>http://dx.doi.org/10.1017/S0032247405004900</v>
      </c>
      <c r="BG239" t="s">
        <v>74</v>
      </c>
      <c r="BH239" t="s">
        <v>74</v>
      </c>
      <c r="BI239">
        <v>7</v>
      </c>
      <c r="BJ239" t="s">
        <v>4053</v>
      </c>
      <c r="BK239" t="s">
        <v>98</v>
      </c>
      <c r="BL239" t="s">
        <v>1155</v>
      </c>
      <c r="BM239" t="s">
        <v>4054</v>
      </c>
      <c r="BN239" t="s">
        <v>74</v>
      </c>
      <c r="BO239" t="s">
        <v>74</v>
      </c>
      <c r="BP239" t="s">
        <v>74</v>
      </c>
      <c r="BQ239" t="s">
        <v>74</v>
      </c>
      <c r="BR239" t="s">
        <v>101</v>
      </c>
      <c r="BS239" t="s">
        <v>4055</v>
      </c>
      <c r="BT239" t="str">
        <f>HYPERLINK("https%3A%2F%2Fwww.webofscience.com%2Fwos%2Fwoscc%2Ffull-record%2FWOS:000235260300005","View Full Record in Web of Science")</f>
        <v>View Full Record in Web of Science</v>
      </c>
    </row>
    <row r="240" spans="1:72" x14ac:dyDescent="0.15">
      <c r="A240" t="s">
        <v>72</v>
      </c>
      <c r="B240" t="s">
        <v>4056</v>
      </c>
      <c r="C240" t="s">
        <v>74</v>
      </c>
      <c r="D240" t="s">
        <v>74</v>
      </c>
      <c r="E240" t="s">
        <v>74</v>
      </c>
      <c r="F240" t="s">
        <v>4056</v>
      </c>
      <c r="G240" t="s">
        <v>74</v>
      </c>
      <c r="H240" t="s">
        <v>74</v>
      </c>
      <c r="I240" t="s">
        <v>4057</v>
      </c>
      <c r="J240" t="s">
        <v>4042</v>
      </c>
      <c r="K240" t="s">
        <v>74</v>
      </c>
      <c r="L240" t="s">
        <v>74</v>
      </c>
      <c r="M240" t="s">
        <v>77</v>
      </c>
      <c r="N240" t="s">
        <v>78</v>
      </c>
      <c r="O240" t="s">
        <v>74</v>
      </c>
      <c r="P240" t="s">
        <v>74</v>
      </c>
      <c r="Q240" t="s">
        <v>74</v>
      </c>
      <c r="R240" t="s">
        <v>74</v>
      </c>
      <c r="S240" t="s">
        <v>74</v>
      </c>
      <c r="T240" t="s">
        <v>74</v>
      </c>
      <c r="U240" t="s">
        <v>74</v>
      </c>
      <c r="V240" t="s">
        <v>4058</v>
      </c>
      <c r="W240" t="s">
        <v>4059</v>
      </c>
      <c r="X240" t="s">
        <v>4060</v>
      </c>
      <c r="Y240" t="s">
        <v>4061</v>
      </c>
      <c r="Z240" t="s">
        <v>4062</v>
      </c>
      <c r="AA240" t="s">
        <v>74</v>
      </c>
      <c r="AB240" t="s">
        <v>74</v>
      </c>
      <c r="AC240" t="s">
        <v>74</v>
      </c>
      <c r="AD240" t="s">
        <v>74</v>
      </c>
      <c r="AE240" t="s">
        <v>74</v>
      </c>
      <c r="AF240" t="s">
        <v>74</v>
      </c>
      <c r="AG240">
        <v>82</v>
      </c>
      <c r="AH240">
        <v>37</v>
      </c>
      <c r="AI240">
        <v>44</v>
      </c>
      <c r="AJ240">
        <v>2</v>
      </c>
      <c r="AK240">
        <v>8</v>
      </c>
      <c r="AL240" t="s">
        <v>2239</v>
      </c>
      <c r="AM240" t="s">
        <v>89</v>
      </c>
      <c r="AN240" t="s">
        <v>4047</v>
      </c>
      <c r="AO240" t="s">
        <v>4048</v>
      </c>
      <c r="AP240" t="s">
        <v>74</v>
      </c>
      <c r="AQ240" t="s">
        <v>74</v>
      </c>
      <c r="AR240" t="s">
        <v>4050</v>
      </c>
      <c r="AS240" t="s">
        <v>4051</v>
      </c>
      <c r="AT240" t="s">
        <v>95</v>
      </c>
      <c r="AU240">
        <v>2006</v>
      </c>
      <c r="AV240">
        <v>42</v>
      </c>
      <c r="AW240">
        <v>220</v>
      </c>
      <c r="AX240" t="s">
        <v>74</v>
      </c>
      <c r="AY240" t="s">
        <v>74</v>
      </c>
      <c r="AZ240" t="s">
        <v>74</v>
      </c>
      <c r="BA240" t="s">
        <v>74</v>
      </c>
      <c r="BB240">
        <v>59</v>
      </c>
      <c r="BC240">
        <v>70</v>
      </c>
      <c r="BD240" t="s">
        <v>74</v>
      </c>
      <c r="BE240" t="s">
        <v>4063</v>
      </c>
      <c r="BF240" t="str">
        <f>HYPERLINK("http://dx.doi.org/10.1017/S0032247405004857","http://dx.doi.org/10.1017/S0032247405004857")</f>
        <v>http://dx.doi.org/10.1017/S0032247405004857</v>
      </c>
      <c r="BG240" t="s">
        <v>74</v>
      </c>
      <c r="BH240" t="s">
        <v>74</v>
      </c>
      <c r="BI240">
        <v>12</v>
      </c>
      <c r="BJ240" t="s">
        <v>4053</v>
      </c>
      <c r="BK240" t="s">
        <v>98</v>
      </c>
      <c r="BL240" t="s">
        <v>1155</v>
      </c>
      <c r="BM240" t="s">
        <v>4054</v>
      </c>
      <c r="BN240" t="s">
        <v>74</v>
      </c>
      <c r="BO240" t="s">
        <v>74</v>
      </c>
      <c r="BP240" t="s">
        <v>74</v>
      </c>
      <c r="BQ240" t="s">
        <v>74</v>
      </c>
      <c r="BR240" t="s">
        <v>101</v>
      </c>
      <c r="BS240" t="s">
        <v>4064</v>
      </c>
      <c r="BT240" t="str">
        <f>HYPERLINK("https%3A%2F%2Fwww.webofscience.com%2Fwos%2Fwoscc%2Ffull-record%2FWOS:000235260300007","View Full Record in Web of Science")</f>
        <v>View Full Record in Web of Science</v>
      </c>
    </row>
    <row r="241" spans="1:72" x14ac:dyDescent="0.15">
      <c r="A241" t="s">
        <v>72</v>
      </c>
      <c r="B241" t="s">
        <v>4065</v>
      </c>
      <c r="C241" t="s">
        <v>74</v>
      </c>
      <c r="D241" t="s">
        <v>74</v>
      </c>
      <c r="E241" t="s">
        <v>74</v>
      </c>
      <c r="F241" t="s">
        <v>4065</v>
      </c>
      <c r="G241" t="s">
        <v>74</v>
      </c>
      <c r="H241" t="s">
        <v>74</v>
      </c>
      <c r="I241" t="s">
        <v>4066</v>
      </c>
      <c r="J241" t="s">
        <v>4067</v>
      </c>
      <c r="K241" t="s">
        <v>74</v>
      </c>
      <c r="L241" t="s">
        <v>74</v>
      </c>
      <c r="M241" t="s">
        <v>77</v>
      </c>
      <c r="N241" t="s">
        <v>78</v>
      </c>
      <c r="O241" t="s">
        <v>74</v>
      </c>
      <c r="P241" t="s">
        <v>74</v>
      </c>
      <c r="Q241" t="s">
        <v>74</v>
      </c>
      <c r="R241" t="s">
        <v>74</v>
      </c>
      <c r="S241" t="s">
        <v>74</v>
      </c>
      <c r="T241" t="s">
        <v>74</v>
      </c>
      <c r="U241" t="s">
        <v>4068</v>
      </c>
      <c r="V241" t="s">
        <v>4069</v>
      </c>
      <c r="W241" t="s">
        <v>4070</v>
      </c>
      <c r="X241" t="s">
        <v>4071</v>
      </c>
      <c r="Y241" t="s">
        <v>3055</v>
      </c>
      <c r="Z241" t="s">
        <v>4072</v>
      </c>
      <c r="AA241" t="s">
        <v>4073</v>
      </c>
      <c r="AB241" t="s">
        <v>4074</v>
      </c>
      <c r="AC241" t="s">
        <v>2355</v>
      </c>
      <c r="AD241" t="s">
        <v>735</v>
      </c>
      <c r="AE241" t="s">
        <v>74</v>
      </c>
      <c r="AF241" t="s">
        <v>74</v>
      </c>
      <c r="AG241">
        <v>29</v>
      </c>
      <c r="AH241">
        <v>16</v>
      </c>
      <c r="AI241">
        <v>17</v>
      </c>
      <c r="AJ241">
        <v>0</v>
      </c>
      <c r="AK241">
        <v>8</v>
      </c>
      <c r="AL241" t="s">
        <v>348</v>
      </c>
      <c r="AM241" t="s">
        <v>349</v>
      </c>
      <c r="AN241" t="s">
        <v>1523</v>
      </c>
      <c r="AO241" t="s">
        <v>4075</v>
      </c>
      <c r="AP241" t="s">
        <v>4076</v>
      </c>
      <c r="AQ241" t="s">
        <v>74</v>
      </c>
      <c r="AR241" t="s">
        <v>4077</v>
      </c>
      <c r="AS241" t="s">
        <v>4078</v>
      </c>
      <c r="AT241" t="s">
        <v>74</v>
      </c>
      <c r="AU241">
        <v>2006</v>
      </c>
      <c r="AV241">
        <v>25</v>
      </c>
      <c r="AW241">
        <v>1</v>
      </c>
      <c r="AX241" t="s">
        <v>74</v>
      </c>
      <c r="AY241" t="s">
        <v>74</v>
      </c>
      <c r="AZ241" t="s">
        <v>74</v>
      </c>
      <c r="BA241" t="s">
        <v>74</v>
      </c>
      <c r="BB241">
        <v>25</v>
      </c>
      <c r="BC241">
        <v>37</v>
      </c>
      <c r="BD241" t="s">
        <v>74</v>
      </c>
      <c r="BE241" t="s">
        <v>4079</v>
      </c>
      <c r="BF241" t="str">
        <f>HYPERLINK("http://dx.doi.org/10.1111/j.1751-8369.2006.tb00148.x","http://dx.doi.org/10.1111/j.1751-8369.2006.tb00148.x")</f>
        <v>http://dx.doi.org/10.1111/j.1751-8369.2006.tb00148.x</v>
      </c>
      <c r="BG241" t="s">
        <v>74</v>
      </c>
      <c r="BH241" t="s">
        <v>74</v>
      </c>
      <c r="BI241">
        <v>13</v>
      </c>
      <c r="BJ241" t="s">
        <v>4080</v>
      </c>
      <c r="BK241" t="s">
        <v>98</v>
      </c>
      <c r="BL241" t="s">
        <v>4081</v>
      </c>
      <c r="BM241" t="s">
        <v>4082</v>
      </c>
      <c r="BN241" t="s">
        <v>74</v>
      </c>
      <c r="BO241" t="s">
        <v>4083</v>
      </c>
      <c r="BP241" t="s">
        <v>74</v>
      </c>
      <c r="BQ241" t="s">
        <v>74</v>
      </c>
      <c r="BR241" t="s">
        <v>101</v>
      </c>
      <c r="BS241" t="s">
        <v>4084</v>
      </c>
      <c r="BT241" t="str">
        <f>HYPERLINK("https%3A%2F%2Fwww.webofscience.com%2Fwos%2Fwoscc%2Ffull-record%2FWOS:000235240600003","View Full Record in Web of Science")</f>
        <v>View Full Record in Web of Science</v>
      </c>
    </row>
    <row r="242" spans="1:72" x14ac:dyDescent="0.15">
      <c r="A242" t="s">
        <v>72</v>
      </c>
      <c r="B242" t="s">
        <v>4085</v>
      </c>
      <c r="C242" t="s">
        <v>74</v>
      </c>
      <c r="D242" t="s">
        <v>74</v>
      </c>
      <c r="E242" t="s">
        <v>74</v>
      </c>
      <c r="F242" t="s">
        <v>4085</v>
      </c>
      <c r="G242" t="s">
        <v>74</v>
      </c>
      <c r="H242" t="s">
        <v>74</v>
      </c>
      <c r="I242" t="s">
        <v>4086</v>
      </c>
      <c r="J242" t="s">
        <v>4067</v>
      </c>
      <c r="K242" t="s">
        <v>74</v>
      </c>
      <c r="L242" t="s">
        <v>74</v>
      </c>
      <c r="M242" t="s">
        <v>77</v>
      </c>
      <c r="N242" t="s">
        <v>78</v>
      </c>
      <c r="O242" t="s">
        <v>74</v>
      </c>
      <c r="P242" t="s">
        <v>74</v>
      </c>
      <c r="Q242" t="s">
        <v>74</v>
      </c>
      <c r="R242" t="s">
        <v>74</v>
      </c>
      <c r="S242" t="s">
        <v>74</v>
      </c>
      <c r="T242" t="s">
        <v>74</v>
      </c>
      <c r="U242" t="s">
        <v>4087</v>
      </c>
      <c r="V242" t="s">
        <v>4088</v>
      </c>
      <c r="W242" t="s">
        <v>4089</v>
      </c>
      <c r="X242" t="s">
        <v>4090</v>
      </c>
      <c r="Y242" t="s">
        <v>4091</v>
      </c>
      <c r="Z242" t="s">
        <v>74</v>
      </c>
      <c r="AA242" t="s">
        <v>4092</v>
      </c>
      <c r="AB242" t="s">
        <v>4093</v>
      </c>
      <c r="AC242" t="s">
        <v>74</v>
      </c>
      <c r="AD242" t="s">
        <v>74</v>
      </c>
      <c r="AE242" t="s">
        <v>74</v>
      </c>
      <c r="AF242" t="s">
        <v>74</v>
      </c>
      <c r="AG242">
        <v>51</v>
      </c>
      <c r="AH242">
        <v>20</v>
      </c>
      <c r="AI242">
        <v>22</v>
      </c>
      <c r="AJ242">
        <v>2</v>
      </c>
      <c r="AK242">
        <v>20</v>
      </c>
      <c r="AL242" t="s">
        <v>4094</v>
      </c>
      <c r="AM242" t="s">
        <v>4095</v>
      </c>
      <c r="AN242" t="s">
        <v>4096</v>
      </c>
      <c r="AO242" t="s">
        <v>4075</v>
      </c>
      <c r="AP242" t="s">
        <v>4076</v>
      </c>
      <c r="AQ242" t="s">
        <v>74</v>
      </c>
      <c r="AR242" t="s">
        <v>4097</v>
      </c>
      <c r="AS242" t="s">
        <v>4078</v>
      </c>
      <c r="AT242" t="s">
        <v>74</v>
      </c>
      <c r="AU242">
        <v>2006</v>
      </c>
      <c r="AV242">
        <v>25</v>
      </c>
      <c r="AW242">
        <v>1</v>
      </c>
      <c r="AX242" t="s">
        <v>74</v>
      </c>
      <c r="AY242" t="s">
        <v>74</v>
      </c>
      <c r="AZ242" t="s">
        <v>74</v>
      </c>
      <c r="BA242" t="s">
        <v>74</v>
      </c>
      <c r="BB242">
        <v>39</v>
      </c>
      <c r="BC242">
        <v>49</v>
      </c>
      <c r="BD242" t="s">
        <v>74</v>
      </c>
      <c r="BE242" t="s">
        <v>4098</v>
      </c>
      <c r="BF242" t="str">
        <f>HYPERLINK("http://dx.doi.org/10.1111/j.1751-8369.2006.tb00149.x","http://dx.doi.org/10.1111/j.1751-8369.2006.tb00149.x")</f>
        <v>http://dx.doi.org/10.1111/j.1751-8369.2006.tb00149.x</v>
      </c>
      <c r="BG242" t="s">
        <v>74</v>
      </c>
      <c r="BH242" t="s">
        <v>74</v>
      </c>
      <c r="BI242">
        <v>11</v>
      </c>
      <c r="BJ242" t="s">
        <v>4080</v>
      </c>
      <c r="BK242" t="s">
        <v>98</v>
      </c>
      <c r="BL242" t="s">
        <v>4081</v>
      </c>
      <c r="BM242" t="s">
        <v>4082</v>
      </c>
      <c r="BN242" t="s">
        <v>74</v>
      </c>
      <c r="BO242" t="s">
        <v>74</v>
      </c>
      <c r="BP242" t="s">
        <v>74</v>
      </c>
      <c r="BQ242" t="s">
        <v>74</v>
      </c>
      <c r="BR242" t="s">
        <v>101</v>
      </c>
      <c r="BS242" t="s">
        <v>4099</v>
      </c>
      <c r="BT242" t="str">
        <f>HYPERLINK("https%3A%2F%2Fwww.webofscience.com%2Fwos%2Fwoscc%2Ffull-record%2FWOS:000235240600004","View Full Record in Web of Science")</f>
        <v>View Full Record in Web of Science</v>
      </c>
    </row>
    <row r="243" spans="1:72" x14ac:dyDescent="0.15">
      <c r="A243" t="s">
        <v>72</v>
      </c>
      <c r="B243" t="s">
        <v>4100</v>
      </c>
      <c r="C243" t="s">
        <v>74</v>
      </c>
      <c r="D243" t="s">
        <v>74</v>
      </c>
      <c r="E243" t="s">
        <v>74</v>
      </c>
      <c r="F243" t="s">
        <v>4100</v>
      </c>
      <c r="G243" t="s">
        <v>74</v>
      </c>
      <c r="H243" t="s">
        <v>74</v>
      </c>
      <c r="I243" t="s">
        <v>4101</v>
      </c>
      <c r="J243" t="s">
        <v>4067</v>
      </c>
      <c r="K243" t="s">
        <v>74</v>
      </c>
      <c r="L243" t="s">
        <v>74</v>
      </c>
      <c r="M243" t="s">
        <v>77</v>
      </c>
      <c r="N243" t="s">
        <v>78</v>
      </c>
      <c r="O243" t="s">
        <v>74</v>
      </c>
      <c r="P243" t="s">
        <v>74</v>
      </c>
      <c r="Q243" t="s">
        <v>74</v>
      </c>
      <c r="R243" t="s">
        <v>74</v>
      </c>
      <c r="S243" t="s">
        <v>74</v>
      </c>
      <c r="T243" t="s">
        <v>74</v>
      </c>
      <c r="U243" t="s">
        <v>74</v>
      </c>
      <c r="V243" t="s">
        <v>4102</v>
      </c>
      <c r="W243" t="s">
        <v>4103</v>
      </c>
      <c r="X243" t="s">
        <v>4104</v>
      </c>
      <c r="Y243" t="s">
        <v>4105</v>
      </c>
      <c r="Z243" t="s">
        <v>4106</v>
      </c>
      <c r="AA243" t="s">
        <v>4107</v>
      </c>
      <c r="AB243" t="s">
        <v>4108</v>
      </c>
      <c r="AC243" t="s">
        <v>74</v>
      </c>
      <c r="AD243" t="s">
        <v>74</v>
      </c>
      <c r="AE243" t="s">
        <v>74</v>
      </c>
      <c r="AF243" t="s">
        <v>74</v>
      </c>
      <c r="AG243">
        <v>8</v>
      </c>
      <c r="AH243">
        <v>10</v>
      </c>
      <c r="AI243">
        <v>12</v>
      </c>
      <c r="AJ243">
        <v>1</v>
      </c>
      <c r="AK243">
        <v>10</v>
      </c>
      <c r="AL243" t="s">
        <v>4109</v>
      </c>
      <c r="AM243" t="s">
        <v>4110</v>
      </c>
      <c r="AN243" t="s">
        <v>4111</v>
      </c>
      <c r="AO243" t="s">
        <v>4075</v>
      </c>
      <c r="AP243" t="s">
        <v>4076</v>
      </c>
      <c r="AQ243" t="s">
        <v>74</v>
      </c>
      <c r="AR243" t="s">
        <v>4077</v>
      </c>
      <c r="AS243" t="s">
        <v>4078</v>
      </c>
      <c r="AT243" t="s">
        <v>74</v>
      </c>
      <c r="AU243">
        <v>2006</v>
      </c>
      <c r="AV243">
        <v>25</v>
      </c>
      <c r="AW243">
        <v>1</v>
      </c>
      <c r="AX243" t="s">
        <v>74</v>
      </c>
      <c r="AY243" t="s">
        <v>74</v>
      </c>
      <c r="AZ243" t="s">
        <v>74</v>
      </c>
      <c r="BA243" t="s">
        <v>74</v>
      </c>
      <c r="BB243">
        <v>69</v>
      </c>
      <c r="BC243">
        <v>73</v>
      </c>
      <c r="BD243" t="s">
        <v>74</v>
      </c>
      <c r="BE243" t="s">
        <v>4112</v>
      </c>
      <c r="BF243" t="str">
        <f>HYPERLINK("http://dx.doi.org/10.1111/j.1751-8369.2006.tb00151.x","http://dx.doi.org/10.1111/j.1751-8369.2006.tb00151.x")</f>
        <v>http://dx.doi.org/10.1111/j.1751-8369.2006.tb00151.x</v>
      </c>
      <c r="BG243" t="s">
        <v>74</v>
      </c>
      <c r="BH243" t="s">
        <v>74</v>
      </c>
      <c r="BI243">
        <v>5</v>
      </c>
      <c r="BJ243" t="s">
        <v>4080</v>
      </c>
      <c r="BK243" t="s">
        <v>98</v>
      </c>
      <c r="BL243" t="s">
        <v>4081</v>
      </c>
      <c r="BM243" t="s">
        <v>4082</v>
      </c>
      <c r="BN243" t="s">
        <v>74</v>
      </c>
      <c r="BO243" t="s">
        <v>74</v>
      </c>
      <c r="BP243" t="s">
        <v>74</v>
      </c>
      <c r="BQ243" t="s">
        <v>74</v>
      </c>
      <c r="BR243" t="s">
        <v>101</v>
      </c>
      <c r="BS243" t="s">
        <v>4113</v>
      </c>
      <c r="BT243" t="str">
        <f>HYPERLINK("https%3A%2F%2Fwww.webofscience.com%2Fwos%2Fwoscc%2Ffull-record%2FWOS:000235240600006","View Full Record in Web of Science")</f>
        <v>View Full Record in Web of Science</v>
      </c>
    </row>
    <row r="244" spans="1:72" x14ac:dyDescent="0.15">
      <c r="A244" t="s">
        <v>72</v>
      </c>
      <c r="B244" t="s">
        <v>4114</v>
      </c>
      <c r="C244" t="s">
        <v>74</v>
      </c>
      <c r="D244" t="s">
        <v>74</v>
      </c>
      <c r="E244" t="s">
        <v>74</v>
      </c>
      <c r="F244" t="s">
        <v>4115</v>
      </c>
      <c r="G244" t="s">
        <v>74</v>
      </c>
      <c r="H244" t="s">
        <v>74</v>
      </c>
      <c r="I244" t="s">
        <v>4116</v>
      </c>
      <c r="J244" t="s">
        <v>4067</v>
      </c>
      <c r="K244" t="s">
        <v>74</v>
      </c>
      <c r="L244" t="s">
        <v>74</v>
      </c>
      <c r="M244" t="s">
        <v>77</v>
      </c>
      <c r="N244" t="s">
        <v>78</v>
      </c>
      <c r="O244" t="s">
        <v>74</v>
      </c>
      <c r="P244" t="s">
        <v>74</v>
      </c>
      <c r="Q244" t="s">
        <v>74</v>
      </c>
      <c r="R244" t="s">
        <v>74</v>
      </c>
      <c r="S244" t="s">
        <v>74</v>
      </c>
      <c r="T244" t="s">
        <v>74</v>
      </c>
      <c r="U244" t="s">
        <v>4117</v>
      </c>
      <c r="V244" t="s">
        <v>4118</v>
      </c>
      <c r="W244" t="s">
        <v>4119</v>
      </c>
      <c r="X244" t="s">
        <v>4120</v>
      </c>
      <c r="Y244" t="s">
        <v>4121</v>
      </c>
      <c r="Z244" t="s">
        <v>4122</v>
      </c>
      <c r="AA244" t="s">
        <v>74</v>
      </c>
      <c r="AB244" t="s">
        <v>74</v>
      </c>
      <c r="AC244" t="s">
        <v>74</v>
      </c>
      <c r="AD244" t="s">
        <v>74</v>
      </c>
      <c r="AE244" t="s">
        <v>74</v>
      </c>
      <c r="AF244" t="s">
        <v>74</v>
      </c>
      <c r="AG244">
        <v>17</v>
      </c>
      <c r="AH244">
        <v>6</v>
      </c>
      <c r="AI244">
        <v>7</v>
      </c>
      <c r="AJ244">
        <v>0</v>
      </c>
      <c r="AK244">
        <v>4</v>
      </c>
      <c r="AL244" t="s">
        <v>4109</v>
      </c>
      <c r="AM244" t="s">
        <v>4110</v>
      </c>
      <c r="AN244" t="s">
        <v>4123</v>
      </c>
      <c r="AO244" t="s">
        <v>4075</v>
      </c>
      <c r="AP244" t="s">
        <v>74</v>
      </c>
      <c r="AQ244" t="s">
        <v>74</v>
      </c>
      <c r="AR244" t="s">
        <v>4077</v>
      </c>
      <c r="AS244" t="s">
        <v>4078</v>
      </c>
      <c r="AT244" t="s">
        <v>74</v>
      </c>
      <c r="AU244">
        <v>2006</v>
      </c>
      <c r="AV244">
        <v>25</v>
      </c>
      <c r="AW244">
        <v>2</v>
      </c>
      <c r="AX244" t="s">
        <v>74</v>
      </c>
      <c r="AY244" t="s">
        <v>74</v>
      </c>
      <c r="AZ244" t="s">
        <v>74</v>
      </c>
      <c r="BA244" t="s">
        <v>74</v>
      </c>
      <c r="BB244">
        <v>139</v>
      </c>
      <c r="BC244">
        <v>144</v>
      </c>
      <c r="BD244" t="s">
        <v>74</v>
      </c>
      <c r="BE244" t="s">
        <v>4124</v>
      </c>
      <c r="BF244" t="str">
        <f>HYPERLINK("http://dx.doi.org/10.1111/j.1751-8369.2006.tb00029.x","http://dx.doi.org/10.1111/j.1751-8369.2006.tb00029.x")</f>
        <v>http://dx.doi.org/10.1111/j.1751-8369.2006.tb00029.x</v>
      </c>
      <c r="BG244" t="s">
        <v>74</v>
      </c>
      <c r="BH244" t="s">
        <v>74</v>
      </c>
      <c r="BI244">
        <v>6</v>
      </c>
      <c r="BJ244" t="s">
        <v>4080</v>
      </c>
      <c r="BK244" t="s">
        <v>98</v>
      </c>
      <c r="BL244" t="s">
        <v>4081</v>
      </c>
      <c r="BM244" t="s">
        <v>4125</v>
      </c>
      <c r="BN244" t="s">
        <v>74</v>
      </c>
      <c r="BO244" t="s">
        <v>74</v>
      </c>
      <c r="BP244" t="s">
        <v>74</v>
      </c>
      <c r="BQ244" t="s">
        <v>74</v>
      </c>
      <c r="BR244" t="s">
        <v>101</v>
      </c>
      <c r="BS244" t="s">
        <v>4126</v>
      </c>
      <c r="BT244" t="str">
        <f>HYPERLINK("https%3A%2F%2Fwww.webofscience.com%2Fwos%2Fwoscc%2Ffull-record%2FWOS:000238877400004","View Full Record in Web of Science")</f>
        <v>View Full Record in Web of Science</v>
      </c>
    </row>
    <row r="245" spans="1:72" x14ac:dyDescent="0.15">
      <c r="A245" t="s">
        <v>72</v>
      </c>
      <c r="B245" t="s">
        <v>4127</v>
      </c>
      <c r="C245" t="s">
        <v>74</v>
      </c>
      <c r="D245" t="s">
        <v>74</v>
      </c>
      <c r="E245" t="s">
        <v>74</v>
      </c>
      <c r="F245" t="s">
        <v>4128</v>
      </c>
      <c r="G245" t="s">
        <v>74</v>
      </c>
      <c r="H245" t="s">
        <v>74</v>
      </c>
      <c r="I245" t="s">
        <v>4129</v>
      </c>
      <c r="J245" t="s">
        <v>4067</v>
      </c>
      <c r="K245" t="s">
        <v>74</v>
      </c>
      <c r="L245" t="s">
        <v>74</v>
      </c>
      <c r="M245" t="s">
        <v>77</v>
      </c>
      <c r="N245" t="s">
        <v>4130</v>
      </c>
      <c r="O245" t="s">
        <v>74</v>
      </c>
      <c r="P245" t="s">
        <v>74</v>
      </c>
      <c r="Q245" t="s">
        <v>74</v>
      </c>
      <c r="R245" t="s">
        <v>74</v>
      </c>
      <c r="S245" t="s">
        <v>74</v>
      </c>
      <c r="T245" t="s">
        <v>74</v>
      </c>
      <c r="U245" t="s">
        <v>74</v>
      </c>
      <c r="V245" t="s">
        <v>4131</v>
      </c>
      <c r="W245" t="s">
        <v>4132</v>
      </c>
      <c r="X245" t="s">
        <v>4133</v>
      </c>
      <c r="Y245" t="s">
        <v>4134</v>
      </c>
      <c r="Z245" t="s">
        <v>4135</v>
      </c>
      <c r="AA245" t="s">
        <v>74</v>
      </c>
      <c r="AB245" t="s">
        <v>74</v>
      </c>
      <c r="AC245" t="s">
        <v>74</v>
      </c>
      <c r="AD245" t="s">
        <v>74</v>
      </c>
      <c r="AE245" t="s">
        <v>74</v>
      </c>
      <c r="AF245" t="s">
        <v>74</v>
      </c>
      <c r="AG245">
        <v>1</v>
      </c>
      <c r="AH245">
        <v>0</v>
      </c>
      <c r="AI245">
        <v>0</v>
      </c>
      <c r="AJ245">
        <v>0</v>
      </c>
      <c r="AK245">
        <v>0</v>
      </c>
      <c r="AL245" t="s">
        <v>348</v>
      </c>
      <c r="AM245" t="s">
        <v>349</v>
      </c>
      <c r="AN245" t="s">
        <v>1523</v>
      </c>
      <c r="AO245" t="s">
        <v>4075</v>
      </c>
      <c r="AP245" t="s">
        <v>4076</v>
      </c>
      <c r="AQ245" t="s">
        <v>74</v>
      </c>
      <c r="AR245" t="s">
        <v>4077</v>
      </c>
      <c r="AS245" t="s">
        <v>4078</v>
      </c>
      <c r="AT245" t="s">
        <v>74</v>
      </c>
      <c r="AU245">
        <v>2006</v>
      </c>
      <c r="AV245">
        <v>25</v>
      </c>
      <c r="AW245">
        <v>2</v>
      </c>
      <c r="AX245" t="s">
        <v>74</v>
      </c>
      <c r="AY245" t="s">
        <v>74</v>
      </c>
      <c r="AZ245" t="s">
        <v>74</v>
      </c>
      <c r="BA245" t="s">
        <v>74</v>
      </c>
      <c r="BB245">
        <v>145</v>
      </c>
      <c r="BC245">
        <v>153</v>
      </c>
      <c r="BD245" t="s">
        <v>74</v>
      </c>
      <c r="BE245" t="s">
        <v>4136</v>
      </c>
      <c r="BF245" t="str">
        <f>HYPERLINK("http://dx.doi.org/10.1111/j.1751-8369.2006.tb00030.x","http://dx.doi.org/10.1111/j.1751-8369.2006.tb00030.x")</f>
        <v>http://dx.doi.org/10.1111/j.1751-8369.2006.tb00030.x</v>
      </c>
      <c r="BG245" t="s">
        <v>74</v>
      </c>
      <c r="BH245" t="s">
        <v>74</v>
      </c>
      <c r="BI245">
        <v>9</v>
      </c>
      <c r="BJ245" t="s">
        <v>4080</v>
      </c>
      <c r="BK245" t="s">
        <v>98</v>
      </c>
      <c r="BL245" t="s">
        <v>4081</v>
      </c>
      <c r="BM245" t="s">
        <v>4125</v>
      </c>
      <c r="BN245" t="s">
        <v>74</v>
      </c>
      <c r="BO245" t="s">
        <v>534</v>
      </c>
      <c r="BP245" t="s">
        <v>74</v>
      </c>
      <c r="BQ245" t="s">
        <v>74</v>
      </c>
      <c r="BR245" t="s">
        <v>101</v>
      </c>
      <c r="BS245" t="s">
        <v>4137</v>
      </c>
      <c r="BT245" t="str">
        <f>HYPERLINK("https%3A%2F%2Fwww.webofscience.com%2Fwos%2Fwoscc%2Ffull-record%2FWOS:000238877400005","View Full Record in Web of Science")</f>
        <v>View Full Record in Web of Science</v>
      </c>
    </row>
    <row r="246" spans="1:72" x14ac:dyDescent="0.15">
      <c r="A246" t="s">
        <v>297</v>
      </c>
      <c r="B246" t="s">
        <v>4138</v>
      </c>
      <c r="C246" t="s">
        <v>74</v>
      </c>
      <c r="D246" t="s">
        <v>74</v>
      </c>
      <c r="E246" t="s">
        <v>4139</v>
      </c>
      <c r="F246" t="s">
        <v>4140</v>
      </c>
      <c r="G246" t="s">
        <v>74</v>
      </c>
      <c r="H246" t="s">
        <v>74</v>
      </c>
      <c r="I246" t="s">
        <v>4141</v>
      </c>
      <c r="J246" t="s">
        <v>4142</v>
      </c>
      <c r="K246" t="s">
        <v>4143</v>
      </c>
      <c r="L246" t="s">
        <v>74</v>
      </c>
      <c r="M246" t="s">
        <v>77</v>
      </c>
      <c r="N246" t="s">
        <v>304</v>
      </c>
      <c r="O246" t="s">
        <v>4144</v>
      </c>
      <c r="P246" t="s">
        <v>4145</v>
      </c>
      <c r="Q246" t="s">
        <v>4146</v>
      </c>
      <c r="R246" t="s">
        <v>74</v>
      </c>
      <c r="S246" t="s">
        <v>74</v>
      </c>
      <c r="T246" t="s">
        <v>74</v>
      </c>
      <c r="U246" t="s">
        <v>74</v>
      </c>
      <c r="V246" t="s">
        <v>4147</v>
      </c>
      <c r="W246" t="s">
        <v>4148</v>
      </c>
      <c r="X246" t="s">
        <v>4149</v>
      </c>
      <c r="Y246" t="s">
        <v>4150</v>
      </c>
      <c r="Z246" t="s">
        <v>74</v>
      </c>
      <c r="AA246" t="s">
        <v>4151</v>
      </c>
      <c r="AB246" t="s">
        <v>4152</v>
      </c>
      <c r="AC246" t="s">
        <v>74</v>
      </c>
      <c r="AD246" t="s">
        <v>74</v>
      </c>
      <c r="AE246" t="s">
        <v>74</v>
      </c>
      <c r="AF246" t="s">
        <v>74</v>
      </c>
      <c r="AG246">
        <v>7</v>
      </c>
      <c r="AH246">
        <v>0</v>
      </c>
      <c r="AI246">
        <v>0</v>
      </c>
      <c r="AJ246">
        <v>0</v>
      </c>
      <c r="AK246">
        <v>1</v>
      </c>
      <c r="AL246" t="s">
        <v>4153</v>
      </c>
      <c r="AM246" t="s">
        <v>2541</v>
      </c>
      <c r="AN246" t="s">
        <v>4154</v>
      </c>
      <c r="AO246" t="s">
        <v>4155</v>
      </c>
      <c r="AP246" t="s">
        <v>4156</v>
      </c>
      <c r="AQ246" t="s">
        <v>74</v>
      </c>
      <c r="AR246" t="s">
        <v>4157</v>
      </c>
      <c r="AS246" t="s">
        <v>74</v>
      </c>
      <c r="AT246" t="s">
        <v>74</v>
      </c>
      <c r="AU246">
        <v>2006</v>
      </c>
      <c r="AV246" t="s">
        <v>74</v>
      </c>
      <c r="AW246" t="s">
        <v>74</v>
      </c>
      <c r="AX246" t="s">
        <v>74</v>
      </c>
      <c r="AY246" t="s">
        <v>74</v>
      </c>
      <c r="AZ246" t="s">
        <v>74</v>
      </c>
      <c r="BA246" t="s">
        <v>74</v>
      </c>
      <c r="BB246">
        <v>1418</v>
      </c>
      <c r="BC246">
        <v>1426</v>
      </c>
      <c r="BD246" t="s">
        <v>74</v>
      </c>
      <c r="BE246" t="s">
        <v>74</v>
      </c>
      <c r="BF246" t="s">
        <v>74</v>
      </c>
      <c r="BG246" t="s">
        <v>74</v>
      </c>
      <c r="BH246" t="s">
        <v>74</v>
      </c>
      <c r="BI246">
        <v>9</v>
      </c>
      <c r="BJ246" t="s">
        <v>4158</v>
      </c>
      <c r="BK246" t="s">
        <v>328</v>
      </c>
      <c r="BL246" t="s">
        <v>4159</v>
      </c>
      <c r="BM246" t="s">
        <v>4160</v>
      </c>
      <c r="BN246" t="s">
        <v>74</v>
      </c>
      <c r="BO246" t="s">
        <v>74</v>
      </c>
      <c r="BP246" t="s">
        <v>74</v>
      </c>
      <c r="BQ246" t="s">
        <v>74</v>
      </c>
      <c r="BR246" t="s">
        <v>101</v>
      </c>
      <c r="BS246" t="s">
        <v>4161</v>
      </c>
      <c r="BT246" t="str">
        <f>HYPERLINK("https%3A%2F%2Fwww.webofscience.com%2Fwos%2Fwoscc%2Ffull-record%2FWOS:000279025901065","View Full Record in Web of Science")</f>
        <v>View Full Record in Web of Science</v>
      </c>
    </row>
    <row r="247" spans="1:72" x14ac:dyDescent="0.15">
      <c r="A247" t="s">
        <v>297</v>
      </c>
      <c r="B247" t="s">
        <v>4162</v>
      </c>
      <c r="C247" t="s">
        <v>74</v>
      </c>
      <c r="D247" t="s">
        <v>74</v>
      </c>
      <c r="E247" t="s">
        <v>4139</v>
      </c>
      <c r="F247" t="s">
        <v>4163</v>
      </c>
      <c r="G247" t="s">
        <v>74</v>
      </c>
      <c r="H247" t="s">
        <v>74</v>
      </c>
      <c r="I247" t="s">
        <v>4164</v>
      </c>
      <c r="J247" t="s">
        <v>4142</v>
      </c>
      <c r="K247" t="s">
        <v>4143</v>
      </c>
      <c r="L247" t="s">
        <v>74</v>
      </c>
      <c r="M247" t="s">
        <v>77</v>
      </c>
      <c r="N247" t="s">
        <v>304</v>
      </c>
      <c r="O247" t="s">
        <v>4144</v>
      </c>
      <c r="P247" t="s">
        <v>4145</v>
      </c>
      <c r="Q247" t="s">
        <v>4146</v>
      </c>
      <c r="R247" t="s">
        <v>74</v>
      </c>
      <c r="S247" t="s">
        <v>74</v>
      </c>
      <c r="T247" t="s">
        <v>74</v>
      </c>
      <c r="U247" t="s">
        <v>74</v>
      </c>
      <c r="V247" t="s">
        <v>4165</v>
      </c>
      <c r="W247" t="s">
        <v>4166</v>
      </c>
      <c r="X247" t="s">
        <v>4149</v>
      </c>
      <c r="Y247" t="s">
        <v>4167</v>
      </c>
      <c r="Z247" t="s">
        <v>74</v>
      </c>
      <c r="AA247" t="s">
        <v>74</v>
      </c>
      <c r="AB247" t="s">
        <v>4168</v>
      </c>
      <c r="AC247" t="s">
        <v>74</v>
      </c>
      <c r="AD247" t="s">
        <v>74</v>
      </c>
      <c r="AE247" t="s">
        <v>74</v>
      </c>
      <c r="AF247" t="s">
        <v>74</v>
      </c>
      <c r="AG247">
        <v>9</v>
      </c>
      <c r="AH247">
        <v>1</v>
      </c>
      <c r="AI247">
        <v>1</v>
      </c>
      <c r="AJ247">
        <v>0</v>
      </c>
      <c r="AK247">
        <v>0</v>
      </c>
      <c r="AL247" t="s">
        <v>4153</v>
      </c>
      <c r="AM247" t="s">
        <v>2541</v>
      </c>
      <c r="AN247" t="s">
        <v>4154</v>
      </c>
      <c r="AO247" t="s">
        <v>4155</v>
      </c>
      <c r="AP247" t="s">
        <v>4156</v>
      </c>
      <c r="AQ247" t="s">
        <v>74</v>
      </c>
      <c r="AR247" t="s">
        <v>4157</v>
      </c>
      <c r="AS247" t="s">
        <v>74</v>
      </c>
      <c r="AT247" t="s">
        <v>74</v>
      </c>
      <c r="AU247">
        <v>2006</v>
      </c>
      <c r="AV247" t="s">
        <v>74</v>
      </c>
      <c r="AW247" t="s">
        <v>74</v>
      </c>
      <c r="AX247" t="s">
        <v>74</v>
      </c>
      <c r="AY247" t="s">
        <v>74</v>
      </c>
      <c r="AZ247" t="s">
        <v>74</v>
      </c>
      <c r="BA247" t="s">
        <v>74</v>
      </c>
      <c r="BB247">
        <v>2798</v>
      </c>
      <c r="BC247">
        <v>2806</v>
      </c>
      <c r="BD247" t="s">
        <v>74</v>
      </c>
      <c r="BE247" t="s">
        <v>74</v>
      </c>
      <c r="BF247" t="s">
        <v>74</v>
      </c>
      <c r="BG247" t="s">
        <v>74</v>
      </c>
      <c r="BH247" t="s">
        <v>74</v>
      </c>
      <c r="BI247">
        <v>9</v>
      </c>
      <c r="BJ247" t="s">
        <v>4158</v>
      </c>
      <c r="BK247" t="s">
        <v>328</v>
      </c>
      <c r="BL247" t="s">
        <v>4159</v>
      </c>
      <c r="BM247" t="s">
        <v>4160</v>
      </c>
      <c r="BN247" t="s">
        <v>74</v>
      </c>
      <c r="BO247" t="s">
        <v>74</v>
      </c>
      <c r="BP247" t="s">
        <v>74</v>
      </c>
      <c r="BQ247" t="s">
        <v>74</v>
      </c>
      <c r="BR247" t="s">
        <v>101</v>
      </c>
      <c r="BS247" t="s">
        <v>4169</v>
      </c>
      <c r="BT247" t="str">
        <f>HYPERLINK("https%3A%2F%2Fwww.webofscience.com%2Fwos%2Fwoscc%2Ffull-record%2FWOS:000279025903041","View Full Record in Web of Science")</f>
        <v>View Full Record in Web of Science</v>
      </c>
    </row>
    <row r="248" spans="1:72" x14ac:dyDescent="0.15">
      <c r="A248" t="s">
        <v>297</v>
      </c>
      <c r="B248" t="s">
        <v>4170</v>
      </c>
      <c r="C248" t="s">
        <v>74</v>
      </c>
      <c r="D248" t="s">
        <v>74</v>
      </c>
      <c r="E248" t="s">
        <v>4171</v>
      </c>
      <c r="F248" t="s">
        <v>4172</v>
      </c>
      <c r="G248" t="s">
        <v>74</v>
      </c>
      <c r="H248" t="s">
        <v>74</v>
      </c>
      <c r="I248" t="s">
        <v>4173</v>
      </c>
      <c r="J248" t="s">
        <v>4174</v>
      </c>
      <c r="K248" t="s">
        <v>74</v>
      </c>
      <c r="L248" t="s">
        <v>74</v>
      </c>
      <c r="M248" t="s">
        <v>77</v>
      </c>
      <c r="N248" t="s">
        <v>304</v>
      </c>
      <c r="O248" t="s">
        <v>4175</v>
      </c>
      <c r="P248" t="s">
        <v>4176</v>
      </c>
      <c r="Q248" t="s">
        <v>4177</v>
      </c>
      <c r="R248" t="s">
        <v>74</v>
      </c>
      <c r="S248" t="s">
        <v>74</v>
      </c>
      <c r="T248" t="s">
        <v>74</v>
      </c>
      <c r="U248" t="s">
        <v>74</v>
      </c>
      <c r="V248" t="s">
        <v>4178</v>
      </c>
      <c r="W248" t="s">
        <v>4179</v>
      </c>
      <c r="X248" t="s">
        <v>74</v>
      </c>
      <c r="Y248" t="s">
        <v>4180</v>
      </c>
      <c r="Z248" t="s">
        <v>74</v>
      </c>
      <c r="AA248" t="s">
        <v>74</v>
      </c>
      <c r="AB248" t="s">
        <v>74</v>
      </c>
      <c r="AC248" t="s">
        <v>74</v>
      </c>
      <c r="AD248" t="s">
        <v>74</v>
      </c>
      <c r="AE248" t="s">
        <v>74</v>
      </c>
      <c r="AF248" t="s">
        <v>74</v>
      </c>
      <c r="AG248">
        <v>4</v>
      </c>
      <c r="AH248">
        <v>0</v>
      </c>
      <c r="AI248">
        <v>0</v>
      </c>
      <c r="AJ248">
        <v>0</v>
      </c>
      <c r="AK248">
        <v>3</v>
      </c>
      <c r="AL248" t="s">
        <v>4181</v>
      </c>
      <c r="AM248" t="s">
        <v>89</v>
      </c>
      <c r="AN248" t="s">
        <v>4182</v>
      </c>
      <c r="AO248" t="s">
        <v>74</v>
      </c>
      <c r="AP248" t="s">
        <v>74</v>
      </c>
      <c r="AQ248" t="s">
        <v>4183</v>
      </c>
      <c r="AR248" t="s">
        <v>74</v>
      </c>
      <c r="AS248" t="s">
        <v>74</v>
      </c>
      <c r="AT248" t="s">
        <v>74</v>
      </c>
      <c r="AU248">
        <v>2006</v>
      </c>
      <c r="AV248" t="s">
        <v>74</v>
      </c>
      <c r="AW248" t="s">
        <v>74</v>
      </c>
      <c r="AX248" t="s">
        <v>74</v>
      </c>
      <c r="AY248" t="s">
        <v>74</v>
      </c>
      <c r="AZ248" t="s">
        <v>74</v>
      </c>
      <c r="BA248" t="s">
        <v>74</v>
      </c>
      <c r="BB248">
        <v>723</v>
      </c>
      <c r="BC248">
        <v>729</v>
      </c>
      <c r="BD248" t="s">
        <v>74</v>
      </c>
      <c r="BE248" t="s">
        <v>74</v>
      </c>
      <c r="BF248" t="s">
        <v>74</v>
      </c>
      <c r="BG248" t="s">
        <v>74</v>
      </c>
      <c r="BH248" t="s">
        <v>74</v>
      </c>
      <c r="BI248">
        <v>7</v>
      </c>
      <c r="BJ248" t="s">
        <v>4184</v>
      </c>
      <c r="BK248" t="s">
        <v>328</v>
      </c>
      <c r="BL248" t="s">
        <v>509</v>
      </c>
      <c r="BM248" t="s">
        <v>4185</v>
      </c>
      <c r="BN248" t="s">
        <v>74</v>
      </c>
      <c r="BO248" t="s">
        <v>74</v>
      </c>
      <c r="BP248" t="s">
        <v>74</v>
      </c>
      <c r="BQ248" t="s">
        <v>74</v>
      </c>
      <c r="BR248" t="s">
        <v>101</v>
      </c>
      <c r="BS248" t="s">
        <v>4186</v>
      </c>
      <c r="BT248" t="str">
        <f>HYPERLINK("https%3A%2F%2Fwww.webofscience.com%2Fwos%2Fwoscc%2Ffull-record%2FWOS:000249368000083","View Full Record in Web of Science")</f>
        <v>View Full Record in Web of Science</v>
      </c>
    </row>
    <row r="249" spans="1:72" x14ac:dyDescent="0.15">
      <c r="A249" t="s">
        <v>297</v>
      </c>
      <c r="B249" t="s">
        <v>4187</v>
      </c>
      <c r="C249" t="s">
        <v>74</v>
      </c>
      <c r="D249" t="s">
        <v>74</v>
      </c>
      <c r="E249" t="s">
        <v>4171</v>
      </c>
      <c r="F249" t="s">
        <v>4188</v>
      </c>
      <c r="G249" t="s">
        <v>74</v>
      </c>
      <c r="H249" t="s">
        <v>74</v>
      </c>
      <c r="I249" t="s">
        <v>4189</v>
      </c>
      <c r="J249" t="s">
        <v>4174</v>
      </c>
      <c r="K249" t="s">
        <v>74</v>
      </c>
      <c r="L249" t="s">
        <v>74</v>
      </c>
      <c r="M249" t="s">
        <v>77</v>
      </c>
      <c r="N249" t="s">
        <v>304</v>
      </c>
      <c r="O249" t="s">
        <v>4175</v>
      </c>
      <c r="P249" t="s">
        <v>4176</v>
      </c>
      <c r="Q249" t="s">
        <v>4177</v>
      </c>
      <c r="R249" t="s">
        <v>74</v>
      </c>
      <c r="S249" t="s">
        <v>74</v>
      </c>
      <c r="T249" t="s">
        <v>74</v>
      </c>
      <c r="U249" t="s">
        <v>74</v>
      </c>
      <c r="V249" t="s">
        <v>4190</v>
      </c>
      <c r="W249" t="s">
        <v>4191</v>
      </c>
      <c r="X249" t="s">
        <v>4192</v>
      </c>
      <c r="Y249" t="s">
        <v>4193</v>
      </c>
      <c r="Z249" t="s">
        <v>74</v>
      </c>
      <c r="AA249" t="s">
        <v>74</v>
      </c>
      <c r="AB249" t="s">
        <v>74</v>
      </c>
      <c r="AC249" t="s">
        <v>74</v>
      </c>
      <c r="AD249" t="s">
        <v>74</v>
      </c>
      <c r="AE249" t="s">
        <v>74</v>
      </c>
      <c r="AF249" t="s">
        <v>74</v>
      </c>
      <c r="AG249">
        <v>6</v>
      </c>
      <c r="AH249">
        <v>0</v>
      </c>
      <c r="AI249">
        <v>0</v>
      </c>
      <c r="AJ249">
        <v>0</v>
      </c>
      <c r="AK249">
        <v>0</v>
      </c>
      <c r="AL249" t="s">
        <v>4181</v>
      </c>
      <c r="AM249" t="s">
        <v>89</v>
      </c>
      <c r="AN249" t="s">
        <v>4182</v>
      </c>
      <c r="AO249" t="s">
        <v>74</v>
      </c>
      <c r="AP249" t="s">
        <v>74</v>
      </c>
      <c r="AQ249" t="s">
        <v>4183</v>
      </c>
      <c r="AR249" t="s">
        <v>74</v>
      </c>
      <c r="AS249" t="s">
        <v>74</v>
      </c>
      <c r="AT249" t="s">
        <v>74</v>
      </c>
      <c r="AU249">
        <v>2006</v>
      </c>
      <c r="AV249" t="s">
        <v>74</v>
      </c>
      <c r="AW249" t="s">
        <v>74</v>
      </c>
      <c r="AX249" t="s">
        <v>74</v>
      </c>
      <c r="AY249" t="s">
        <v>74</v>
      </c>
      <c r="AZ249" t="s">
        <v>74</v>
      </c>
      <c r="BA249" t="s">
        <v>74</v>
      </c>
      <c r="BB249">
        <v>751</v>
      </c>
      <c r="BC249">
        <v>757</v>
      </c>
      <c r="BD249" t="s">
        <v>74</v>
      </c>
      <c r="BE249" t="s">
        <v>74</v>
      </c>
      <c r="BF249" t="s">
        <v>74</v>
      </c>
      <c r="BG249" t="s">
        <v>74</v>
      </c>
      <c r="BH249" t="s">
        <v>74</v>
      </c>
      <c r="BI249">
        <v>7</v>
      </c>
      <c r="BJ249" t="s">
        <v>4184</v>
      </c>
      <c r="BK249" t="s">
        <v>328</v>
      </c>
      <c r="BL249" t="s">
        <v>509</v>
      </c>
      <c r="BM249" t="s">
        <v>4185</v>
      </c>
      <c r="BN249" t="s">
        <v>74</v>
      </c>
      <c r="BO249" t="s">
        <v>74</v>
      </c>
      <c r="BP249" t="s">
        <v>74</v>
      </c>
      <c r="BQ249" t="s">
        <v>74</v>
      </c>
      <c r="BR249" t="s">
        <v>101</v>
      </c>
      <c r="BS249" t="s">
        <v>4194</v>
      </c>
      <c r="BT249" t="str">
        <f>HYPERLINK("https%3A%2F%2Fwww.webofscience.com%2Fwos%2Fwoscc%2Ffull-record%2FWOS:000249368000086","View Full Record in Web of Science")</f>
        <v>View Full Record in Web of Science</v>
      </c>
    </row>
    <row r="250" spans="1:72" x14ac:dyDescent="0.15">
      <c r="A250" t="s">
        <v>297</v>
      </c>
      <c r="B250" t="s">
        <v>4195</v>
      </c>
      <c r="C250" t="s">
        <v>74</v>
      </c>
      <c r="D250" t="s">
        <v>74</v>
      </c>
      <c r="E250" t="s">
        <v>4171</v>
      </c>
      <c r="F250" t="s">
        <v>4196</v>
      </c>
      <c r="G250" t="s">
        <v>74</v>
      </c>
      <c r="H250" t="s">
        <v>74</v>
      </c>
      <c r="I250" t="s">
        <v>4197</v>
      </c>
      <c r="J250" t="s">
        <v>4174</v>
      </c>
      <c r="K250" t="s">
        <v>74</v>
      </c>
      <c r="L250" t="s">
        <v>74</v>
      </c>
      <c r="M250" t="s">
        <v>77</v>
      </c>
      <c r="N250" t="s">
        <v>304</v>
      </c>
      <c r="O250" t="s">
        <v>4175</v>
      </c>
      <c r="P250" t="s">
        <v>4176</v>
      </c>
      <c r="Q250" t="s">
        <v>4177</v>
      </c>
      <c r="R250" t="s">
        <v>74</v>
      </c>
      <c r="S250" t="s">
        <v>74</v>
      </c>
      <c r="T250" t="s">
        <v>74</v>
      </c>
      <c r="U250" t="s">
        <v>74</v>
      </c>
      <c r="V250" t="s">
        <v>4198</v>
      </c>
      <c r="W250" t="s">
        <v>4199</v>
      </c>
      <c r="X250" t="s">
        <v>74</v>
      </c>
      <c r="Y250" t="s">
        <v>4200</v>
      </c>
      <c r="Z250" t="s">
        <v>74</v>
      </c>
      <c r="AA250" t="s">
        <v>74</v>
      </c>
      <c r="AB250" t="s">
        <v>74</v>
      </c>
      <c r="AC250" t="s">
        <v>74</v>
      </c>
      <c r="AD250" t="s">
        <v>74</v>
      </c>
      <c r="AE250" t="s">
        <v>74</v>
      </c>
      <c r="AF250" t="s">
        <v>74</v>
      </c>
      <c r="AG250">
        <v>0</v>
      </c>
      <c r="AH250">
        <v>0</v>
      </c>
      <c r="AI250">
        <v>0</v>
      </c>
      <c r="AJ250">
        <v>0</v>
      </c>
      <c r="AK250">
        <v>0</v>
      </c>
      <c r="AL250" t="s">
        <v>4181</v>
      </c>
      <c r="AM250" t="s">
        <v>89</v>
      </c>
      <c r="AN250" t="s">
        <v>4182</v>
      </c>
      <c r="AO250" t="s">
        <v>74</v>
      </c>
      <c r="AP250" t="s">
        <v>74</v>
      </c>
      <c r="AQ250" t="s">
        <v>4183</v>
      </c>
      <c r="AR250" t="s">
        <v>74</v>
      </c>
      <c r="AS250" t="s">
        <v>74</v>
      </c>
      <c r="AT250" t="s">
        <v>74</v>
      </c>
      <c r="AU250">
        <v>2006</v>
      </c>
      <c r="AV250" t="s">
        <v>74</v>
      </c>
      <c r="AW250" t="s">
        <v>74</v>
      </c>
      <c r="AX250" t="s">
        <v>74</v>
      </c>
      <c r="AY250" t="s">
        <v>74</v>
      </c>
      <c r="AZ250" t="s">
        <v>74</v>
      </c>
      <c r="BA250" t="s">
        <v>74</v>
      </c>
      <c r="BB250">
        <v>797</v>
      </c>
      <c r="BC250">
        <v>801</v>
      </c>
      <c r="BD250" t="s">
        <v>74</v>
      </c>
      <c r="BE250" t="s">
        <v>74</v>
      </c>
      <c r="BF250" t="s">
        <v>74</v>
      </c>
      <c r="BG250" t="s">
        <v>74</v>
      </c>
      <c r="BH250" t="s">
        <v>74</v>
      </c>
      <c r="BI250">
        <v>5</v>
      </c>
      <c r="BJ250" t="s">
        <v>4184</v>
      </c>
      <c r="BK250" t="s">
        <v>328</v>
      </c>
      <c r="BL250" t="s">
        <v>509</v>
      </c>
      <c r="BM250" t="s">
        <v>4185</v>
      </c>
      <c r="BN250" t="s">
        <v>74</v>
      </c>
      <c r="BO250" t="s">
        <v>74</v>
      </c>
      <c r="BP250" t="s">
        <v>74</v>
      </c>
      <c r="BQ250" t="s">
        <v>74</v>
      </c>
      <c r="BR250" t="s">
        <v>101</v>
      </c>
      <c r="BS250" t="s">
        <v>4201</v>
      </c>
      <c r="BT250" t="str">
        <f>HYPERLINK("https%3A%2F%2Fwww.webofscience.com%2Fwos%2Fwoscc%2Ffull-record%2FWOS:000249368000092","View Full Record in Web of Science")</f>
        <v>View Full Record in Web of Science</v>
      </c>
    </row>
    <row r="251" spans="1:72" x14ac:dyDescent="0.15">
      <c r="A251" t="s">
        <v>297</v>
      </c>
      <c r="B251" t="s">
        <v>4202</v>
      </c>
      <c r="C251" t="s">
        <v>74</v>
      </c>
      <c r="D251" t="s">
        <v>4203</v>
      </c>
      <c r="E251" t="s">
        <v>74</v>
      </c>
      <c r="F251" t="s">
        <v>4204</v>
      </c>
      <c r="G251" t="s">
        <v>74</v>
      </c>
      <c r="H251" t="s">
        <v>74</v>
      </c>
      <c r="I251" t="s">
        <v>4205</v>
      </c>
      <c r="J251" t="s">
        <v>4206</v>
      </c>
      <c r="K251" t="s">
        <v>74</v>
      </c>
      <c r="L251" t="s">
        <v>74</v>
      </c>
      <c r="M251" t="s">
        <v>77</v>
      </c>
      <c r="N251" t="s">
        <v>304</v>
      </c>
      <c r="O251" t="s">
        <v>4207</v>
      </c>
      <c r="P251" t="s">
        <v>4208</v>
      </c>
      <c r="Q251" t="s">
        <v>4209</v>
      </c>
      <c r="R251" t="s">
        <v>74</v>
      </c>
      <c r="S251" t="s">
        <v>74</v>
      </c>
      <c r="T251" t="s">
        <v>4210</v>
      </c>
      <c r="U251" t="s">
        <v>4211</v>
      </c>
      <c r="V251" t="s">
        <v>4212</v>
      </c>
      <c r="W251" t="s">
        <v>4213</v>
      </c>
      <c r="X251" t="s">
        <v>4214</v>
      </c>
      <c r="Y251" t="s">
        <v>4215</v>
      </c>
      <c r="Z251" t="s">
        <v>74</v>
      </c>
      <c r="AA251" t="s">
        <v>74</v>
      </c>
      <c r="AB251" t="s">
        <v>74</v>
      </c>
      <c r="AC251" t="s">
        <v>74</v>
      </c>
      <c r="AD251" t="s">
        <v>74</v>
      </c>
      <c r="AE251" t="s">
        <v>74</v>
      </c>
      <c r="AF251" t="s">
        <v>74</v>
      </c>
      <c r="AG251">
        <v>46</v>
      </c>
      <c r="AH251">
        <v>0</v>
      </c>
      <c r="AI251">
        <v>0</v>
      </c>
      <c r="AJ251">
        <v>1</v>
      </c>
      <c r="AK251">
        <v>5</v>
      </c>
      <c r="AL251" t="s">
        <v>4216</v>
      </c>
      <c r="AM251" t="s">
        <v>4217</v>
      </c>
      <c r="AN251" t="s">
        <v>4218</v>
      </c>
      <c r="AO251" t="s">
        <v>74</v>
      </c>
      <c r="AP251" t="s">
        <v>74</v>
      </c>
      <c r="AQ251" t="s">
        <v>4219</v>
      </c>
      <c r="AR251" t="s">
        <v>74</v>
      </c>
      <c r="AS251" t="s">
        <v>74</v>
      </c>
      <c r="AT251" t="s">
        <v>74</v>
      </c>
      <c r="AU251">
        <v>2006</v>
      </c>
      <c r="AV251" t="s">
        <v>74</v>
      </c>
      <c r="AW251" t="s">
        <v>74</v>
      </c>
      <c r="AX251" t="s">
        <v>74</v>
      </c>
      <c r="AY251" t="s">
        <v>74</v>
      </c>
      <c r="AZ251" t="s">
        <v>74</v>
      </c>
      <c r="BA251" t="s">
        <v>74</v>
      </c>
      <c r="BB251">
        <v>636</v>
      </c>
      <c r="BC251">
        <v>645</v>
      </c>
      <c r="BD251" t="s">
        <v>74</v>
      </c>
      <c r="BE251" t="s">
        <v>74</v>
      </c>
      <c r="BF251" t="s">
        <v>74</v>
      </c>
      <c r="BG251" t="s">
        <v>74</v>
      </c>
      <c r="BH251" t="s">
        <v>74</v>
      </c>
      <c r="BI251">
        <v>10</v>
      </c>
      <c r="BJ251" t="s">
        <v>3495</v>
      </c>
      <c r="BK251" t="s">
        <v>328</v>
      </c>
      <c r="BL251" t="s">
        <v>3496</v>
      </c>
      <c r="BM251" t="s">
        <v>4220</v>
      </c>
      <c r="BN251" t="s">
        <v>74</v>
      </c>
      <c r="BO251" t="s">
        <v>74</v>
      </c>
      <c r="BP251" t="s">
        <v>74</v>
      </c>
      <c r="BQ251" t="s">
        <v>74</v>
      </c>
      <c r="BR251" t="s">
        <v>101</v>
      </c>
      <c r="BS251" t="s">
        <v>4221</v>
      </c>
      <c r="BT251" t="str">
        <f>HYPERLINK("https%3A%2F%2Fwww.webofscience.com%2Fwos%2Fwoscc%2Ffull-record%2FWOS:000238346000100","View Full Record in Web of Science")</f>
        <v>View Full Record in Web of Science</v>
      </c>
    </row>
    <row r="252" spans="1:72" x14ac:dyDescent="0.15">
      <c r="A252" t="s">
        <v>297</v>
      </c>
      <c r="B252" t="s">
        <v>4222</v>
      </c>
      <c r="C252" t="s">
        <v>74</v>
      </c>
      <c r="D252" t="s">
        <v>4223</v>
      </c>
      <c r="E252" t="s">
        <v>74</v>
      </c>
      <c r="F252" t="s">
        <v>4224</v>
      </c>
      <c r="G252" t="s">
        <v>74</v>
      </c>
      <c r="H252" t="s">
        <v>74</v>
      </c>
      <c r="I252" t="s">
        <v>4225</v>
      </c>
      <c r="J252" t="s">
        <v>4226</v>
      </c>
      <c r="K252" t="s">
        <v>74</v>
      </c>
      <c r="L252" t="s">
        <v>74</v>
      </c>
      <c r="M252" t="s">
        <v>77</v>
      </c>
      <c r="N252" t="s">
        <v>304</v>
      </c>
      <c r="O252" t="s">
        <v>4227</v>
      </c>
      <c r="P252" t="s">
        <v>4228</v>
      </c>
      <c r="Q252" t="s">
        <v>497</v>
      </c>
      <c r="R252" t="s">
        <v>74</v>
      </c>
      <c r="S252" t="s">
        <v>74</v>
      </c>
      <c r="T252" t="s">
        <v>4229</v>
      </c>
      <c r="U252" t="s">
        <v>74</v>
      </c>
      <c r="V252" t="s">
        <v>4230</v>
      </c>
      <c r="W252" t="s">
        <v>4231</v>
      </c>
      <c r="X252" t="s">
        <v>74</v>
      </c>
      <c r="Y252" t="s">
        <v>4232</v>
      </c>
      <c r="Z252" t="s">
        <v>4233</v>
      </c>
      <c r="AA252" t="s">
        <v>4234</v>
      </c>
      <c r="AB252" t="s">
        <v>74</v>
      </c>
      <c r="AC252" t="s">
        <v>74</v>
      </c>
      <c r="AD252" t="s">
        <v>74</v>
      </c>
      <c r="AE252" t="s">
        <v>74</v>
      </c>
      <c r="AF252" t="s">
        <v>74</v>
      </c>
      <c r="AG252">
        <v>5</v>
      </c>
      <c r="AH252">
        <v>0</v>
      </c>
      <c r="AI252">
        <v>0</v>
      </c>
      <c r="AJ252">
        <v>0</v>
      </c>
      <c r="AK252">
        <v>0</v>
      </c>
      <c r="AL252" t="s">
        <v>4235</v>
      </c>
      <c r="AM252" t="s">
        <v>4236</v>
      </c>
      <c r="AN252" t="s">
        <v>4237</v>
      </c>
      <c r="AO252" t="s">
        <v>74</v>
      </c>
      <c r="AP252" t="s">
        <v>74</v>
      </c>
      <c r="AQ252" t="s">
        <v>4238</v>
      </c>
      <c r="AR252" t="s">
        <v>74</v>
      </c>
      <c r="AS252" t="s">
        <v>74</v>
      </c>
      <c r="AT252" t="s">
        <v>74</v>
      </c>
      <c r="AU252">
        <v>2006</v>
      </c>
      <c r="AV252" t="s">
        <v>74</v>
      </c>
      <c r="AW252" t="s">
        <v>74</v>
      </c>
      <c r="AX252" t="s">
        <v>74</v>
      </c>
      <c r="AY252" t="s">
        <v>74</v>
      </c>
      <c r="AZ252" t="s">
        <v>74</v>
      </c>
      <c r="BA252" t="s">
        <v>74</v>
      </c>
      <c r="BB252">
        <v>477</v>
      </c>
      <c r="BC252" t="s">
        <v>1059</v>
      </c>
      <c r="BD252" t="s">
        <v>74</v>
      </c>
      <c r="BE252" t="s">
        <v>74</v>
      </c>
      <c r="BF252" t="s">
        <v>74</v>
      </c>
      <c r="BG252" t="s">
        <v>74</v>
      </c>
      <c r="BH252" t="s">
        <v>74</v>
      </c>
      <c r="BI252">
        <v>2</v>
      </c>
      <c r="BJ252" t="s">
        <v>4239</v>
      </c>
      <c r="BK252" t="s">
        <v>328</v>
      </c>
      <c r="BL252" t="s">
        <v>4239</v>
      </c>
      <c r="BM252" t="s">
        <v>4240</v>
      </c>
      <c r="BN252" t="s">
        <v>74</v>
      </c>
      <c r="BO252" t="s">
        <v>74</v>
      </c>
      <c r="BP252" t="s">
        <v>74</v>
      </c>
      <c r="BQ252" t="s">
        <v>74</v>
      </c>
      <c r="BR252" t="s">
        <v>101</v>
      </c>
      <c r="BS252" t="s">
        <v>4241</v>
      </c>
      <c r="BT252" t="str">
        <f>HYPERLINK("https%3A%2F%2Fwww.webofscience.com%2Fwos%2Fwoscc%2Ffull-record%2FWOS:000243316200077","View Full Record in Web of Science")</f>
        <v>View Full Record in Web of Science</v>
      </c>
    </row>
    <row r="253" spans="1:72" x14ac:dyDescent="0.15">
      <c r="A253" t="s">
        <v>297</v>
      </c>
      <c r="B253" t="s">
        <v>4242</v>
      </c>
      <c r="C253" t="s">
        <v>74</v>
      </c>
      <c r="D253" t="s">
        <v>4243</v>
      </c>
      <c r="E253" t="s">
        <v>74</v>
      </c>
      <c r="F253" t="s">
        <v>4244</v>
      </c>
      <c r="G253" t="s">
        <v>74</v>
      </c>
      <c r="H253" t="s">
        <v>74</v>
      </c>
      <c r="I253" t="s">
        <v>4245</v>
      </c>
      <c r="J253" t="s">
        <v>4246</v>
      </c>
      <c r="K253" t="s">
        <v>4247</v>
      </c>
      <c r="L253" t="s">
        <v>74</v>
      </c>
      <c r="M253" t="s">
        <v>77</v>
      </c>
      <c r="N253" t="s">
        <v>304</v>
      </c>
      <c r="O253" t="s">
        <v>4248</v>
      </c>
      <c r="P253" t="s">
        <v>4249</v>
      </c>
      <c r="Q253" t="s">
        <v>1623</v>
      </c>
      <c r="R253" t="s">
        <v>74</v>
      </c>
      <c r="S253" t="s">
        <v>74</v>
      </c>
      <c r="T253" t="s">
        <v>4250</v>
      </c>
      <c r="U253" t="s">
        <v>74</v>
      </c>
      <c r="V253" t="s">
        <v>4251</v>
      </c>
      <c r="W253" t="s">
        <v>4252</v>
      </c>
      <c r="X253" t="s">
        <v>74</v>
      </c>
      <c r="Y253" t="s">
        <v>4253</v>
      </c>
      <c r="Z253" t="s">
        <v>74</v>
      </c>
      <c r="AA253" t="s">
        <v>74</v>
      </c>
      <c r="AB253" t="s">
        <v>74</v>
      </c>
      <c r="AC253" t="s">
        <v>4254</v>
      </c>
      <c r="AD253" t="s">
        <v>74</v>
      </c>
      <c r="AE253" t="s">
        <v>4255</v>
      </c>
      <c r="AF253" t="s">
        <v>74</v>
      </c>
      <c r="AG253">
        <v>6</v>
      </c>
      <c r="AH253">
        <v>3</v>
      </c>
      <c r="AI253">
        <v>3</v>
      </c>
      <c r="AJ253">
        <v>0</v>
      </c>
      <c r="AK253">
        <v>0</v>
      </c>
      <c r="AL253" t="s">
        <v>4256</v>
      </c>
      <c r="AM253" t="s">
        <v>4257</v>
      </c>
      <c r="AN253" t="s">
        <v>4258</v>
      </c>
      <c r="AO253" t="s">
        <v>4259</v>
      </c>
      <c r="AP253" t="s">
        <v>74</v>
      </c>
      <c r="AQ253" t="s">
        <v>74</v>
      </c>
      <c r="AR253" t="s">
        <v>4260</v>
      </c>
      <c r="AS253" t="s">
        <v>74</v>
      </c>
      <c r="AT253" t="s">
        <v>74</v>
      </c>
      <c r="AU253">
        <v>2006</v>
      </c>
      <c r="AV253" t="s">
        <v>74</v>
      </c>
      <c r="AW253" t="s">
        <v>74</v>
      </c>
      <c r="AX253" t="s">
        <v>74</v>
      </c>
      <c r="AY253" t="s">
        <v>74</v>
      </c>
      <c r="AZ253" t="s">
        <v>74</v>
      </c>
      <c r="BA253" t="s">
        <v>74</v>
      </c>
      <c r="BB253">
        <v>608</v>
      </c>
      <c r="BC253" t="s">
        <v>1059</v>
      </c>
      <c r="BD253" t="s">
        <v>74</v>
      </c>
      <c r="BE253" t="s">
        <v>74</v>
      </c>
      <c r="BF253" t="s">
        <v>74</v>
      </c>
      <c r="BG253" t="s">
        <v>74</v>
      </c>
      <c r="BH253" t="s">
        <v>74</v>
      </c>
      <c r="BI253">
        <v>2</v>
      </c>
      <c r="BJ253" t="s">
        <v>3780</v>
      </c>
      <c r="BK253" t="s">
        <v>328</v>
      </c>
      <c r="BL253" t="s">
        <v>509</v>
      </c>
      <c r="BM253" t="s">
        <v>4261</v>
      </c>
      <c r="BN253" t="s">
        <v>74</v>
      </c>
      <c r="BO253" t="s">
        <v>74</v>
      </c>
      <c r="BP253" t="s">
        <v>74</v>
      </c>
      <c r="BQ253" t="s">
        <v>74</v>
      </c>
      <c r="BR253" t="s">
        <v>101</v>
      </c>
      <c r="BS253" t="s">
        <v>4262</v>
      </c>
      <c r="BT253" t="str">
        <f>HYPERLINK("https%3A%2F%2Fwww.webofscience.com%2Fwos%2Fwoscc%2Ffull-record%2FWOS:000240310900094","View Full Record in Web of Science")</f>
        <v>View Full Record in Web of Science</v>
      </c>
    </row>
    <row r="254" spans="1:72" x14ac:dyDescent="0.15">
      <c r="A254" t="s">
        <v>297</v>
      </c>
      <c r="B254" t="s">
        <v>4263</v>
      </c>
      <c r="C254" t="s">
        <v>74</v>
      </c>
      <c r="D254" t="s">
        <v>4243</v>
      </c>
      <c r="E254" t="s">
        <v>74</v>
      </c>
      <c r="F254" t="s">
        <v>4264</v>
      </c>
      <c r="G254" t="s">
        <v>74</v>
      </c>
      <c r="H254" t="s">
        <v>74</v>
      </c>
      <c r="I254" t="s">
        <v>4265</v>
      </c>
      <c r="J254" t="s">
        <v>4246</v>
      </c>
      <c r="K254" t="s">
        <v>4247</v>
      </c>
      <c r="L254" t="s">
        <v>74</v>
      </c>
      <c r="M254" t="s">
        <v>77</v>
      </c>
      <c r="N254" t="s">
        <v>304</v>
      </c>
      <c r="O254" t="s">
        <v>4248</v>
      </c>
      <c r="P254" t="s">
        <v>4249</v>
      </c>
      <c r="Q254" t="s">
        <v>1623</v>
      </c>
      <c r="R254" t="s">
        <v>74</v>
      </c>
      <c r="S254" t="s">
        <v>74</v>
      </c>
      <c r="T254" t="s">
        <v>4266</v>
      </c>
      <c r="U254" t="s">
        <v>74</v>
      </c>
      <c r="V254" t="s">
        <v>4267</v>
      </c>
      <c r="W254" t="s">
        <v>4268</v>
      </c>
      <c r="X254" t="s">
        <v>4269</v>
      </c>
      <c r="Y254" t="s">
        <v>4270</v>
      </c>
      <c r="Z254" t="s">
        <v>74</v>
      </c>
      <c r="AA254" t="s">
        <v>4271</v>
      </c>
      <c r="AB254" t="s">
        <v>4272</v>
      </c>
      <c r="AC254" t="s">
        <v>74</v>
      </c>
      <c r="AD254" t="s">
        <v>74</v>
      </c>
      <c r="AE254" t="s">
        <v>74</v>
      </c>
      <c r="AF254" t="s">
        <v>74</v>
      </c>
      <c r="AG254">
        <v>22</v>
      </c>
      <c r="AH254">
        <v>2</v>
      </c>
      <c r="AI254">
        <v>2</v>
      </c>
      <c r="AJ254">
        <v>0</v>
      </c>
      <c r="AK254">
        <v>0</v>
      </c>
      <c r="AL254" t="s">
        <v>4256</v>
      </c>
      <c r="AM254" t="s">
        <v>4257</v>
      </c>
      <c r="AN254" t="s">
        <v>4258</v>
      </c>
      <c r="AO254" t="s">
        <v>4259</v>
      </c>
      <c r="AP254" t="s">
        <v>74</v>
      </c>
      <c r="AQ254" t="s">
        <v>74</v>
      </c>
      <c r="AR254" t="s">
        <v>4260</v>
      </c>
      <c r="AS254" t="s">
        <v>74</v>
      </c>
      <c r="AT254" t="s">
        <v>74</v>
      </c>
      <c r="AU254">
        <v>2006</v>
      </c>
      <c r="AV254" t="s">
        <v>74</v>
      </c>
      <c r="AW254" t="s">
        <v>74</v>
      </c>
      <c r="AX254" t="s">
        <v>74</v>
      </c>
      <c r="AY254" t="s">
        <v>74</v>
      </c>
      <c r="AZ254" t="s">
        <v>74</v>
      </c>
      <c r="BA254" t="s">
        <v>74</v>
      </c>
      <c r="BB254">
        <v>634</v>
      </c>
      <c r="BC254">
        <v>638</v>
      </c>
      <c r="BD254" t="s">
        <v>74</v>
      </c>
      <c r="BE254" t="s">
        <v>74</v>
      </c>
      <c r="BF254" t="s">
        <v>74</v>
      </c>
      <c r="BG254" t="s">
        <v>74</v>
      </c>
      <c r="BH254" t="s">
        <v>74</v>
      </c>
      <c r="BI254">
        <v>5</v>
      </c>
      <c r="BJ254" t="s">
        <v>3780</v>
      </c>
      <c r="BK254" t="s">
        <v>328</v>
      </c>
      <c r="BL254" t="s">
        <v>509</v>
      </c>
      <c r="BM254" t="s">
        <v>4261</v>
      </c>
      <c r="BN254" t="s">
        <v>74</v>
      </c>
      <c r="BO254" t="s">
        <v>74</v>
      </c>
      <c r="BP254" t="s">
        <v>74</v>
      </c>
      <c r="BQ254" t="s">
        <v>74</v>
      </c>
      <c r="BR254" t="s">
        <v>101</v>
      </c>
      <c r="BS254" t="s">
        <v>4273</v>
      </c>
      <c r="BT254" t="str">
        <f>HYPERLINK("https%3A%2F%2Fwww.webofscience.com%2Fwos%2Fwoscc%2Ffull-record%2FWOS:000240310900098","View Full Record in Web of Science")</f>
        <v>View Full Record in Web of Science</v>
      </c>
    </row>
    <row r="255" spans="1:72" x14ac:dyDescent="0.15">
      <c r="A255" t="s">
        <v>297</v>
      </c>
      <c r="B255" t="s">
        <v>4274</v>
      </c>
      <c r="C255" t="s">
        <v>74</v>
      </c>
      <c r="D255" t="s">
        <v>4275</v>
      </c>
      <c r="E255" t="s">
        <v>74</v>
      </c>
      <c r="F255" t="s">
        <v>4276</v>
      </c>
      <c r="G255" t="s">
        <v>74</v>
      </c>
      <c r="H255" t="s">
        <v>74</v>
      </c>
      <c r="I255" t="s">
        <v>4277</v>
      </c>
      <c r="J255" t="s">
        <v>4278</v>
      </c>
      <c r="K255" t="s">
        <v>4247</v>
      </c>
      <c r="L255" t="s">
        <v>74</v>
      </c>
      <c r="M255" t="s">
        <v>77</v>
      </c>
      <c r="N255" t="s">
        <v>304</v>
      </c>
      <c r="O255" t="s">
        <v>4248</v>
      </c>
      <c r="P255" t="s">
        <v>4249</v>
      </c>
      <c r="Q255" t="s">
        <v>1623</v>
      </c>
      <c r="R255" t="s">
        <v>74</v>
      </c>
      <c r="S255" t="s">
        <v>74</v>
      </c>
      <c r="T255" t="s">
        <v>4279</v>
      </c>
      <c r="U255" t="s">
        <v>4280</v>
      </c>
      <c r="V255" t="s">
        <v>4281</v>
      </c>
      <c r="W255" t="s">
        <v>4282</v>
      </c>
      <c r="X255" t="s">
        <v>3419</v>
      </c>
      <c r="Y255" t="s">
        <v>4283</v>
      </c>
      <c r="Z255" t="s">
        <v>74</v>
      </c>
      <c r="AA255" t="s">
        <v>74</v>
      </c>
      <c r="AB255" t="s">
        <v>74</v>
      </c>
      <c r="AC255" t="s">
        <v>74</v>
      </c>
      <c r="AD255" t="s">
        <v>74</v>
      </c>
      <c r="AE255" t="s">
        <v>74</v>
      </c>
      <c r="AF255" t="s">
        <v>74</v>
      </c>
      <c r="AG255">
        <v>13</v>
      </c>
      <c r="AH255">
        <v>0</v>
      </c>
      <c r="AI255">
        <v>0</v>
      </c>
      <c r="AJ255">
        <v>0</v>
      </c>
      <c r="AK255">
        <v>0</v>
      </c>
      <c r="AL255" t="s">
        <v>4256</v>
      </c>
      <c r="AM255" t="s">
        <v>4257</v>
      </c>
      <c r="AN255" t="s">
        <v>4258</v>
      </c>
      <c r="AO255" t="s">
        <v>4259</v>
      </c>
      <c r="AP255" t="s">
        <v>74</v>
      </c>
      <c r="AQ255" t="s">
        <v>74</v>
      </c>
      <c r="AR255" t="s">
        <v>4260</v>
      </c>
      <c r="AS255" t="s">
        <v>74</v>
      </c>
      <c r="AT255" t="s">
        <v>74</v>
      </c>
      <c r="AU255">
        <v>2006</v>
      </c>
      <c r="AV255" t="s">
        <v>74</v>
      </c>
      <c r="AW255" t="s">
        <v>74</v>
      </c>
      <c r="AX255" t="s">
        <v>74</v>
      </c>
      <c r="AY255" t="s">
        <v>74</v>
      </c>
      <c r="AZ255" t="s">
        <v>74</v>
      </c>
      <c r="BA255" t="s">
        <v>74</v>
      </c>
      <c r="BB255">
        <v>114</v>
      </c>
      <c r="BC255">
        <v>121</v>
      </c>
      <c r="BD255" t="s">
        <v>74</v>
      </c>
      <c r="BE255" t="s">
        <v>74</v>
      </c>
      <c r="BF255" t="s">
        <v>74</v>
      </c>
      <c r="BG255" t="s">
        <v>74</v>
      </c>
      <c r="BH255" t="s">
        <v>74</v>
      </c>
      <c r="BI255">
        <v>8</v>
      </c>
      <c r="BJ255" t="s">
        <v>3780</v>
      </c>
      <c r="BK255" t="s">
        <v>328</v>
      </c>
      <c r="BL255" t="s">
        <v>509</v>
      </c>
      <c r="BM255" t="s">
        <v>4284</v>
      </c>
      <c r="BN255" t="s">
        <v>74</v>
      </c>
      <c r="BO255" t="s">
        <v>74</v>
      </c>
      <c r="BP255" t="s">
        <v>74</v>
      </c>
      <c r="BQ255" t="s">
        <v>74</v>
      </c>
      <c r="BR255" t="s">
        <v>101</v>
      </c>
      <c r="BS255" t="s">
        <v>4285</v>
      </c>
      <c r="BT255" t="str">
        <f>HYPERLINK("https%3A%2F%2Fwww.webofscience.com%2Fwos%2Fwoscc%2Ffull-record%2FWOS:000240311500017","View Full Record in Web of Science")</f>
        <v>View Full Record in Web of Science</v>
      </c>
    </row>
    <row r="256" spans="1:72" x14ac:dyDescent="0.15">
      <c r="A256" t="s">
        <v>72</v>
      </c>
      <c r="B256" t="s">
        <v>4286</v>
      </c>
      <c r="C256" t="s">
        <v>74</v>
      </c>
      <c r="D256" t="s">
        <v>74</v>
      </c>
      <c r="E256" t="s">
        <v>74</v>
      </c>
      <c r="F256" t="s">
        <v>4287</v>
      </c>
      <c r="G256" t="s">
        <v>74</v>
      </c>
      <c r="H256" t="s">
        <v>74</v>
      </c>
      <c r="I256" t="s">
        <v>4288</v>
      </c>
      <c r="J256" t="s">
        <v>4289</v>
      </c>
      <c r="K256" t="s">
        <v>74</v>
      </c>
      <c r="L256" t="s">
        <v>74</v>
      </c>
      <c r="M256" t="s">
        <v>77</v>
      </c>
      <c r="N256" t="s">
        <v>289</v>
      </c>
      <c r="O256" t="s">
        <v>74</v>
      </c>
      <c r="P256" t="s">
        <v>74</v>
      </c>
      <c r="Q256" t="s">
        <v>74</v>
      </c>
      <c r="R256" t="s">
        <v>74</v>
      </c>
      <c r="S256" t="s">
        <v>74</v>
      </c>
      <c r="T256" t="s">
        <v>4290</v>
      </c>
      <c r="U256" t="s">
        <v>4291</v>
      </c>
      <c r="V256" t="s">
        <v>4292</v>
      </c>
      <c r="W256" t="s">
        <v>4293</v>
      </c>
      <c r="X256" t="s">
        <v>4294</v>
      </c>
      <c r="Y256" t="s">
        <v>4295</v>
      </c>
      <c r="Z256" t="s">
        <v>4296</v>
      </c>
      <c r="AA256" t="s">
        <v>74</v>
      </c>
      <c r="AB256" t="s">
        <v>74</v>
      </c>
      <c r="AC256" t="s">
        <v>74</v>
      </c>
      <c r="AD256" t="s">
        <v>74</v>
      </c>
      <c r="AE256" t="s">
        <v>74</v>
      </c>
      <c r="AF256" t="s">
        <v>74</v>
      </c>
      <c r="AG256">
        <v>23</v>
      </c>
      <c r="AH256">
        <v>42</v>
      </c>
      <c r="AI256">
        <v>43</v>
      </c>
      <c r="AJ256">
        <v>0</v>
      </c>
      <c r="AK256">
        <v>9</v>
      </c>
      <c r="AL256" t="s">
        <v>622</v>
      </c>
      <c r="AM256" t="s">
        <v>140</v>
      </c>
      <c r="AN256" t="s">
        <v>623</v>
      </c>
      <c r="AO256" t="s">
        <v>4297</v>
      </c>
      <c r="AP256" t="s">
        <v>74</v>
      </c>
      <c r="AQ256" t="s">
        <v>74</v>
      </c>
      <c r="AR256" t="s">
        <v>4298</v>
      </c>
      <c r="AS256" t="s">
        <v>4299</v>
      </c>
      <c r="AT256" t="s">
        <v>74</v>
      </c>
      <c r="AU256">
        <v>2006</v>
      </c>
      <c r="AV256">
        <v>70</v>
      </c>
      <c r="AW256" t="s">
        <v>4300</v>
      </c>
      <c r="AX256" t="s">
        <v>74</v>
      </c>
      <c r="AY256" t="s">
        <v>74</v>
      </c>
      <c r="AZ256" t="s">
        <v>74</v>
      </c>
      <c r="BA256" t="s">
        <v>74</v>
      </c>
      <c r="BB256">
        <v>331</v>
      </c>
      <c r="BC256">
        <v>345</v>
      </c>
      <c r="BD256" t="s">
        <v>74</v>
      </c>
      <c r="BE256" t="s">
        <v>4301</v>
      </c>
      <c r="BF256" t="str">
        <f>HYPERLINK("http://dx.doi.org/10.1016/j.pocean.2006.07.004","http://dx.doi.org/10.1016/j.pocean.2006.07.004")</f>
        <v>http://dx.doi.org/10.1016/j.pocean.2006.07.004</v>
      </c>
      <c r="BG256" t="s">
        <v>74</v>
      </c>
      <c r="BH256" t="s">
        <v>74</v>
      </c>
      <c r="BI256">
        <v>15</v>
      </c>
      <c r="BJ256" t="s">
        <v>629</v>
      </c>
      <c r="BK256" t="s">
        <v>98</v>
      </c>
      <c r="BL256" t="s">
        <v>629</v>
      </c>
      <c r="BM256" t="s">
        <v>4302</v>
      </c>
      <c r="BN256" t="s">
        <v>74</v>
      </c>
      <c r="BO256" t="s">
        <v>74</v>
      </c>
      <c r="BP256" t="s">
        <v>74</v>
      </c>
      <c r="BQ256" t="s">
        <v>74</v>
      </c>
      <c r="BR256" t="s">
        <v>101</v>
      </c>
      <c r="BS256" t="s">
        <v>4303</v>
      </c>
      <c r="BT256" t="str">
        <f>HYPERLINK("https%3A%2F%2Fwww.webofscience.com%2Fwos%2Fwoscc%2Ffull-record%2FWOS:000241170000014","View Full Record in Web of Science")</f>
        <v>View Full Record in Web of Science</v>
      </c>
    </row>
    <row r="257" spans="1:72" x14ac:dyDescent="0.15">
      <c r="A257" t="s">
        <v>72</v>
      </c>
      <c r="B257" t="s">
        <v>4304</v>
      </c>
      <c r="C257" t="s">
        <v>74</v>
      </c>
      <c r="D257" t="s">
        <v>74</v>
      </c>
      <c r="E257" t="s">
        <v>74</v>
      </c>
      <c r="F257" t="s">
        <v>4305</v>
      </c>
      <c r="G257" t="s">
        <v>74</v>
      </c>
      <c r="H257" t="s">
        <v>74</v>
      </c>
      <c r="I257" t="s">
        <v>4306</v>
      </c>
      <c r="J257" t="s">
        <v>4289</v>
      </c>
      <c r="K257" t="s">
        <v>74</v>
      </c>
      <c r="L257" t="s">
        <v>74</v>
      </c>
      <c r="M257" t="s">
        <v>77</v>
      </c>
      <c r="N257" t="s">
        <v>289</v>
      </c>
      <c r="O257" t="s">
        <v>74</v>
      </c>
      <c r="P257" t="s">
        <v>74</v>
      </c>
      <c r="Q257" t="s">
        <v>74</v>
      </c>
      <c r="R257" t="s">
        <v>74</v>
      </c>
      <c r="S257" t="s">
        <v>74</v>
      </c>
      <c r="T257" t="s">
        <v>4307</v>
      </c>
      <c r="U257" t="s">
        <v>4308</v>
      </c>
      <c r="V257" t="s">
        <v>4309</v>
      </c>
      <c r="W257" t="s">
        <v>4310</v>
      </c>
      <c r="X257" t="s">
        <v>4311</v>
      </c>
      <c r="Y257" t="s">
        <v>4312</v>
      </c>
      <c r="Z257" t="s">
        <v>4313</v>
      </c>
      <c r="AA257" t="s">
        <v>4314</v>
      </c>
      <c r="AB257" t="s">
        <v>4315</v>
      </c>
      <c r="AC257" t="s">
        <v>74</v>
      </c>
      <c r="AD257" t="s">
        <v>74</v>
      </c>
      <c r="AE257" t="s">
        <v>74</v>
      </c>
      <c r="AF257" t="s">
        <v>74</v>
      </c>
      <c r="AG257">
        <v>127</v>
      </c>
      <c r="AH257">
        <v>82</v>
      </c>
      <c r="AI257">
        <v>83</v>
      </c>
      <c r="AJ257">
        <v>1</v>
      </c>
      <c r="AK257">
        <v>18</v>
      </c>
      <c r="AL257" t="s">
        <v>622</v>
      </c>
      <c r="AM257" t="s">
        <v>140</v>
      </c>
      <c r="AN257" t="s">
        <v>623</v>
      </c>
      <c r="AO257" t="s">
        <v>4297</v>
      </c>
      <c r="AP257" t="s">
        <v>74</v>
      </c>
      <c r="AQ257" t="s">
        <v>74</v>
      </c>
      <c r="AR257" t="s">
        <v>4298</v>
      </c>
      <c r="AS257" t="s">
        <v>4299</v>
      </c>
      <c r="AT257" t="s">
        <v>74</v>
      </c>
      <c r="AU257">
        <v>2006</v>
      </c>
      <c r="AV257">
        <v>70</v>
      </c>
      <c r="AW257" t="s">
        <v>4300</v>
      </c>
      <c r="AX257" t="s">
        <v>74</v>
      </c>
      <c r="AY257" t="s">
        <v>74</v>
      </c>
      <c r="AZ257" t="s">
        <v>74</v>
      </c>
      <c r="BA257" t="s">
        <v>74</v>
      </c>
      <c r="BB257">
        <v>416</v>
      </c>
      <c r="BC257">
        <v>447</v>
      </c>
      <c r="BD257" t="s">
        <v>74</v>
      </c>
      <c r="BE257" t="s">
        <v>4316</v>
      </c>
      <c r="BF257" t="str">
        <f>HYPERLINK("http://dx.doi.org/10.1016/j.pocean.2006.03.019","http://dx.doi.org/10.1016/j.pocean.2006.03.019")</f>
        <v>http://dx.doi.org/10.1016/j.pocean.2006.03.019</v>
      </c>
      <c r="BG257" t="s">
        <v>74</v>
      </c>
      <c r="BH257" t="s">
        <v>74</v>
      </c>
      <c r="BI257">
        <v>32</v>
      </c>
      <c r="BJ257" t="s">
        <v>629</v>
      </c>
      <c r="BK257" t="s">
        <v>98</v>
      </c>
      <c r="BL257" t="s">
        <v>629</v>
      </c>
      <c r="BM257" t="s">
        <v>4302</v>
      </c>
      <c r="BN257" t="s">
        <v>74</v>
      </c>
      <c r="BO257" t="s">
        <v>74</v>
      </c>
      <c r="BP257" t="s">
        <v>74</v>
      </c>
      <c r="BQ257" t="s">
        <v>74</v>
      </c>
      <c r="BR257" t="s">
        <v>101</v>
      </c>
      <c r="BS257" t="s">
        <v>4317</v>
      </c>
      <c r="BT257" t="str">
        <f>HYPERLINK("https%3A%2F%2Fwww.webofscience.com%2Fwos%2Fwoscc%2Ffull-record%2FWOS:000241170000018","View Full Record in Web of Science")</f>
        <v>View Full Record in Web of Science</v>
      </c>
    </row>
    <row r="258" spans="1:72" x14ac:dyDescent="0.15">
      <c r="A258" t="s">
        <v>72</v>
      </c>
      <c r="B258" t="s">
        <v>4318</v>
      </c>
      <c r="C258" t="s">
        <v>74</v>
      </c>
      <c r="D258" t="s">
        <v>74</v>
      </c>
      <c r="E258" t="s">
        <v>74</v>
      </c>
      <c r="F258" t="s">
        <v>4318</v>
      </c>
      <c r="G258" t="s">
        <v>74</v>
      </c>
      <c r="H258" t="s">
        <v>74</v>
      </c>
      <c r="I258" t="s">
        <v>4319</v>
      </c>
      <c r="J258" t="s">
        <v>4289</v>
      </c>
      <c r="K258" t="s">
        <v>74</v>
      </c>
      <c r="L258" t="s">
        <v>74</v>
      </c>
      <c r="M258" t="s">
        <v>77</v>
      </c>
      <c r="N258" t="s">
        <v>289</v>
      </c>
      <c r="O258" t="s">
        <v>74</v>
      </c>
      <c r="P258" t="s">
        <v>74</v>
      </c>
      <c r="Q258" t="s">
        <v>74</v>
      </c>
      <c r="R258" t="s">
        <v>74</v>
      </c>
      <c r="S258" t="s">
        <v>74</v>
      </c>
      <c r="T258" t="s">
        <v>4320</v>
      </c>
      <c r="U258" t="s">
        <v>4321</v>
      </c>
      <c r="V258" t="s">
        <v>4322</v>
      </c>
      <c r="W258" t="s">
        <v>4323</v>
      </c>
      <c r="X258" t="s">
        <v>4324</v>
      </c>
      <c r="Y258" t="s">
        <v>4325</v>
      </c>
      <c r="Z258" t="s">
        <v>4326</v>
      </c>
      <c r="AA258" t="s">
        <v>4327</v>
      </c>
      <c r="AB258" t="s">
        <v>4328</v>
      </c>
      <c r="AC258" t="s">
        <v>74</v>
      </c>
      <c r="AD258" t="s">
        <v>74</v>
      </c>
      <c r="AE258" t="s">
        <v>74</v>
      </c>
      <c r="AF258" t="s">
        <v>74</v>
      </c>
      <c r="AG258">
        <v>55</v>
      </c>
      <c r="AH258">
        <v>17</v>
      </c>
      <c r="AI258">
        <v>18</v>
      </c>
      <c r="AJ258">
        <v>0</v>
      </c>
      <c r="AK258">
        <v>5</v>
      </c>
      <c r="AL258" t="s">
        <v>622</v>
      </c>
      <c r="AM258" t="s">
        <v>140</v>
      </c>
      <c r="AN258" t="s">
        <v>623</v>
      </c>
      <c r="AO258" t="s">
        <v>4297</v>
      </c>
      <c r="AP258" t="s">
        <v>74</v>
      </c>
      <c r="AQ258" t="s">
        <v>74</v>
      </c>
      <c r="AR258" t="s">
        <v>4298</v>
      </c>
      <c r="AS258" t="s">
        <v>4299</v>
      </c>
      <c r="AT258" t="s">
        <v>74</v>
      </c>
      <c r="AU258">
        <v>2006</v>
      </c>
      <c r="AV258">
        <v>68</v>
      </c>
      <c r="AW258">
        <v>1</v>
      </c>
      <c r="AX258" t="s">
        <v>74</v>
      </c>
      <c r="AY258" t="s">
        <v>74</v>
      </c>
      <c r="AZ258" t="s">
        <v>74</v>
      </c>
      <c r="BA258" t="s">
        <v>74</v>
      </c>
      <c r="BB258">
        <v>75</v>
      </c>
      <c r="BC258">
        <v>114</v>
      </c>
      <c r="BD258" t="s">
        <v>74</v>
      </c>
      <c r="BE258" t="s">
        <v>4329</v>
      </c>
      <c r="BF258" t="str">
        <f>HYPERLINK("http://dx.doi.org/10.1016/j.pocean.2005.07.001","http://dx.doi.org/10.1016/j.pocean.2005.07.001")</f>
        <v>http://dx.doi.org/10.1016/j.pocean.2005.07.001</v>
      </c>
      <c r="BG258" t="s">
        <v>74</v>
      </c>
      <c r="BH258" t="s">
        <v>74</v>
      </c>
      <c r="BI258">
        <v>40</v>
      </c>
      <c r="BJ258" t="s">
        <v>629</v>
      </c>
      <c r="BK258" t="s">
        <v>98</v>
      </c>
      <c r="BL258" t="s">
        <v>629</v>
      </c>
      <c r="BM258" t="s">
        <v>4330</v>
      </c>
      <c r="BN258" t="s">
        <v>74</v>
      </c>
      <c r="BO258" t="s">
        <v>74</v>
      </c>
      <c r="BP258" t="s">
        <v>74</v>
      </c>
      <c r="BQ258" t="s">
        <v>74</v>
      </c>
      <c r="BR258" t="s">
        <v>101</v>
      </c>
      <c r="BS258" t="s">
        <v>4331</v>
      </c>
      <c r="BT258" t="str">
        <f>HYPERLINK("https%3A%2F%2Fwww.webofscience.com%2Fwos%2Fwoscc%2Ffull-record%2FWOS:000234817400003","View Full Record in Web of Science")</f>
        <v>View Full Record in Web of Science</v>
      </c>
    </row>
    <row r="259" spans="1:72" x14ac:dyDescent="0.15">
      <c r="A259" t="s">
        <v>374</v>
      </c>
      <c r="B259" t="s">
        <v>4332</v>
      </c>
      <c r="C259" t="s">
        <v>74</v>
      </c>
      <c r="D259" t="s">
        <v>4333</v>
      </c>
      <c r="E259" t="s">
        <v>74</v>
      </c>
      <c r="F259" t="s">
        <v>4334</v>
      </c>
      <c r="G259" t="s">
        <v>74</v>
      </c>
      <c r="H259" t="s">
        <v>74</v>
      </c>
      <c r="I259" t="s">
        <v>4335</v>
      </c>
      <c r="J259" t="s">
        <v>4336</v>
      </c>
      <c r="K259" t="s">
        <v>74</v>
      </c>
      <c r="L259" t="s">
        <v>74</v>
      </c>
      <c r="M259" t="s">
        <v>77</v>
      </c>
      <c r="N259" t="s">
        <v>381</v>
      </c>
      <c r="O259" t="s">
        <v>74</v>
      </c>
      <c r="P259" t="s">
        <v>74</v>
      </c>
      <c r="Q259" t="s">
        <v>74</v>
      </c>
      <c r="R259" t="s">
        <v>74</v>
      </c>
      <c r="S259" t="s">
        <v>74</v>
      </c>
      <c r="T259" t="s">
        <v>74</v>
      </c>
      <c r="U259" t="s">
        <v>4337</v>
      </c>
      <c r="V259" t="s">
        <v>74</v>
      </c>
      <c r="W259" t="s">
        <v>4338</v>
      </c>
      <c r="X259" t="s">
        <v>4339</v>
      </c>
      <c r="Y259" t="s">
        <v>4340</v>
      </c>
      <c r="Z259" t="s">
        <v>74</v>
      </c>
      <c r="AA259" t="s">
        <v>4341</v>
      </c>
      <c r="AB259" t="s">
        <v>4342</v>
      </c>
      <c r="AC259" t="s">
        <v>74</v>
      </c>
      <c r="AD259" t="s">
        <v>74</v>
      </c>
      <c r="AE259" t="s">
        <v>74</v>
      </c>
      <c r="AF259" t="s">
        <v>74</v>
      </c>
      <c r="AG259">
        <v>97</v>
      </c>
      <c r="AH259">
        <v>9</v>
      </c>
      <c r="AI259">
        <v>10</v>
      </c>
      <c r="AJ259">
        <v>0</v>
      </c>
      <c r="AK259">
        <v>3</v>
      </c>
      <c r="AL259" t="s">
        <v>88</v>
      </c>
      <c r="AM259" t="s">
        <v>89</v>
      </c>
      <c r="AN259" t="s">
        <v>4343</v>
      </c>
      <c r="AO259" t="s">
        <v>74</v>
      </c>
      <c r="AP259" t="s">
        <v>74</v>
      </c>
      <c r="AQ259" t="s">
        <v>4344</v>
      </c>
      <c r="AR259" t="s">
        <v>74</v>
      </c>
      <c r="AS259" t="s">
        <v>74</v>
      </c>
      <c r="AT259" t="s">
        <v>74</v>
      </c>
      <c r="AU259">
        <v>2006</v>
      </c>
      <c r="AV259" t="s">
        <v>74</v>
      </c>
      <c r="AW259" t="s">
        <v>74</v>
      </c>
      <c r="AX259" t="s">
        <v>74</v>
      </c>
      <c r="AY259" t="s">
        <v>74</v>
      </c>
      <c r="AZ259" t="s">
        <v>74</v>
      </c>
      <c r="BA259" t="s">
        <v>74</v>
      </c>
      <c r="BB259">
        <v>887</v>
      </c>
      <c r="BC259">
        <v>915</v>
      </c>
      <c r="BD259" t="s">
        <v>74</v>
      </c>
      <c r="BE259" t="s">
        <v>4345</v>
      </c>
      <c r="BF259" t="str">
        <f>HYPERLINK("http://dx.doi.org/10.1007/0-387-30746-x_33","http://dx.doi.org/10.1007/0-387-30746-x_33")</f>
        <v>http://dx.doi.org/10.1007/0-387-30746-x_33</v>
      </c>
      <c r="BG259" t="s">
        <v>4346</v>
      </c>
      <c r="BH259" t="s">
        <v>74</v>
      </c>
      <c r="BI259">
        <v>29</v>
      </c>
      <c r="BJ259" t="s">
        <v>2054</v>
      </c>
      <c r="BK259" t="s">
        <v>609</v>
      </c>
      <c r="BL259" t="s">
        <v>2054</v>
      </c>
      <c r="BM259" t="s">
        <v>4347</v>
      </c>
      <c r="BN259" t="s">
        <v>74</v>
      </c>
      <c r="BO259" t="s">
        <v>74</v>
      </c>
      <c r="BP259" t="s">
        <v>74</v>
      </c>
      <c r="BQ259" t="s">
        <v>74</v>
      </c>
      <c r="BR259" t="s">
        <v>101</v>
      </c>
      <c r="BS259" t="s">
        <v>4348</v>
      </c>
      <c r="BT259" t="str">
        <f>HYPERLINK("https%3A%2F%2Fwww.webofscience.com%2Fwos%2Fwoscc%2Ffull-record%2FWOS:000268343700033","View Full Record in Web of Science")</f>
        <v>View Full Record in Web of Science</v>
      </c>
    </row>
    <row r="260" spans="1:72" x14ac:dyDescent="0.15">
      <c r="A260" t="s">
        <v>374</v>
      </c>
      <c r="B260" t="s">
        <v>4349</v>
      </c>
      <c r="C260" t="s">
        <v>74</v>
      </c>
      <c r="D260" t="s">
        <v>4333</v>
      </c>
      <c r="E260" t="s">
        <v>74</v>
      </c>
      <c r="F260" t="s">
        <v>4350</v>
      </c>
      <c r="G260" t="s">
        <v>74</v>
      </c>
      <c r="H260" t="s">
        <v>74</v>
      </c>
      <c r="I260" t="s">
        <v>4351</v>
      </c>
      <c r="J260" t="s">
        <v>4336</v>
      </c>
      <c r="K260" t="s">
        <v>74</v>
      </c>
      <c r="L260" t="s">
        <v>74</v>
      </c>
      <c r="M260" t="s">
        <v>77</v>
      </c>
      <c r="N260" t="s">
        <v>381</v>
      </c>
      <c r="O260" t="s">
        <v>74</v>
      </c>
      <c r="P260" t="s">
        <v>74</v>
      </c>
      <c r="Q260" t="s">
        <v>74</v>
      </c>
      <c r="R260" t="s">
        <v>74</v>
      </c>
      <c r="S260" t="s">
        <v>74</v>
      </c>
      <c r="T260" t="s">
        <v>74</v>
      </c>
      <c r="U260" t="s">
        <v>4352</v>
      </c>
      <c r="V260" t="s">
        <v>74</v>
      </c>
      <c r="W260" t="s">
        <v>4353</v>
      </c>
      <c r="X260" t="s">
        <v>4354</v>
      </c>
      <c r="Y260" t="s">
        <v>4355</v>
      </c>
      <c r="Z260" t="s">
        <v>74</v>
      </c>
      <c r="AA260" t="s">
        <v>4356</v>
      </c>
      <c r="AB260" t="s">
        <v>4357</v>
      </c>
      <c r="AC260" t="s">
        <v>74</v>
      </c>
      <c r="AD260" t="s">
        <v>74</v>
      </c>
      <c r="AE260" t="s">
        <v>74</v>
      </c>
      <c r="AF260" t="s">
        <v>74</v>
      </c>
      <c r="AG260">
        <v>75</v>
      </c>
      <c r="AH260">
        <v>63</v>
      </c>
      <c r="AI260">
        <v>66</v>
      </c>
      <c r="AJ260">
        <v>0</v>
      </c>
      <c r="AK260">
        <v>6</v>
      </c>
      <c r="AL260" t="s">
        <v>88</v>
      </c>
      <c r="AM260" t="s">
        <v>89</v>
      </c>
      <c r="AN260" t="s">
        <v>4343</v>
      </c>
      <c r="AO260" t="s">
        <v>74</v>
      </c>
      <c r="AP260" t="s">
        <v>74</v>
      </c>
      <c r="AQ260" t="s">
        <v>4344</v>
      </c>
      <c r="AR260" t="s">
        <v>74</v>
      </c>
      <c r="AS260" t="s">
        <v>74</v>
      </c>
      <c r="AT260" t="s">
        <v>74</v>
      </c>
      <c r="AU260">
        <v>2006</v>
      </c>
      <c r="AV260" t="s">
        <v>74</v>
      </c>
      <c r="AW260" t="s">
        <v>74</v>
      </c>
      <c r="AX260" t="s">
        <v>74</v>
      </c>
      <c r="AY260" t="s">
        <v>74</v>
      </c>
      <c r="AZ260" t="s">
        <v>74</v>
      </c>
      <c r="BA260" t="s">
        <v>74</v>
      </c>
      <c r="BB260">
        <v>920</v>
      </c>
      <c r="BC260">
        <v>930</v>
      </c>
      <c r="BD260" t="s">
        <v>74</v>
      </c>
      <c r="BE260" t="s">
        <v>4358</v>
      </c>
      <c r="BF260" t="str">
        <f>HYPERLINK("http://dx.doi.org/10.1007/0-387-30746-x_35","http://dx.doi.org/10.1007/0-387-30746-x_35")</f>
        <v>http://dx.doi.org/10.1007/0-387-30746-x_35</v>
      </c>
      <c r="BG260" t="s">
        <v>4346</v>
      </c>
      <c r="BH260" t="s">
        <v>74</v>
      </c>
      <c r="BI260">
        <v>11</v>
      </c>
      <c r="BJ260" t="s">
        <v>2054</v>
      </c>
      <c r="BK260" t="s">
        <v>609</v>
      </c>
      <c r="BL260" t="s">
        <v>2054</v>
      </c>
      <c r="BM260" t="s">
        <v>4347</v>
      </c>
      <c r="BN260" t="s">
        <v>74</v>
      </c>
      <c r="BO260" t="s">
        <v>74</v>
      </c>
      <c r="BP260" t="s">
        <v>74</v>
      </c>
      <c r="BQ260" t="s">
        <v>74</v>
      </c>
      <c r="BR260" t="s">
        <v>101</v>
      </c>
      <c r="BS260" t="s">
        <v>4359</v>
      </c>
      <c r="BT260" t="str">
        <f>HYPERLINK("https%3A%2F%2Fwww.webofscience.com%2Fwos%2Fwoscc%2Ffull-record%2FWOS:000268343700035","View Full Record in Web of Science")</f>
        <v>View Full Record in Web of Science</v>
      </c>
    </row>
    <row r="261" spans="1:72" x14ac:dyDescent="0.15">
      <c r="A261" t="s">
        <v>72</v>
      </c>
      <c r="B261" t="s">
        <v>4360</v>
      </c>
      <c r="C261" t="s">
        <v>74</v>
      </c>
      <c r="D261" t="s">
        <v>74</v>
      </c>
      <c r="E261" t="s">
        <v>74</v>
      </c>
      <c r="F261" t="s">
        <v>4360</v>
      </c>
      <c r="G261" t="s">
        <v>74</v>
      </c>
      <c r="H261" t="s">
        <v>74</v>
      </c>
      <c r="I261" t="s">
        <v>4361</v>
      </c>
      <c r="J261" t="s">
        <v>4362</v>
      </c>
      <c r="K261" t="s">
        <v>74</v>
      </c>
      <c r="L261" t="s">
        <v>74</v>
      </c>
      <c r="M261" t="s">
        <v>77</v>
      </c>
      <c r="N261" t="s">
        <v>78</v>
      </c>
      <c r="O261" t="s">
        <v>74</v>
      </c>
      <c r="P261" t="s">
        <v>74</v>
      </c>
      <c r="Q261" t="s">
        <v>74</v>
      </c>
      <c r="R261" t="s">
        <v>74</v>
      </c>
      <c r="S261" t="s">
        <v>74</v>
      </c>
      <c r="T261" t="s">
        <v>74</v>
      </c>
      <c r="U261" t="s">
        <v>4363</v>
      </c>
      <c r="V261" t="s">
        <v>4364</v>
      </c>
      <c r="W261" t="s">
        <v>4365</v>
      </c>
      <c r="X261" t="s">
        <v>4366</v>
      </c>
      <c r="Y261" t="s">
        <v>4367</v>
      </c>
      <c r="Z261" t="s">
        <v>4368</v>
      </c>
      <c r="AA261" t="s">
        <v>74</v>
      </c>
      <c r="AB261" t="s">
        <v>74</v>
      </c>
      <c r="AC261" t="s">
        <v>74</v>
      </c>
      <c r="AD261" t="s">
        <v>74</v>
      </c>
      <c r="AE261" t="s">
        <v>74</v>
      </c>
      <c r="AF261" t="s">
        <v>74</v>
      </c>
      <c r="AG261">
        <v>29</v>
      </c>
      <c r="AH261">
        <v>8</v>
      </c>
      <c r="AI261">
        <v>8</v>
      </c>
      <c r="AJ261">
        <v>0</v>
      </c>
      <c r="AK261">
        <v>0</v>
      </c>
      <c r="AL261" t="s">
        <v>4369</v>
      </c>
      <c r="AM261" t="s">
        <v>4370</v>
      </c>
      <c r="AN261" t="s">
        <v>4371</v>
      </c>
      <c r="AO261" t="s">
        <v>4372</v>
      </c>
      <c r="AP261" t="s">
        <v>74</v>
      </c>
      <c r="AQ261" t="s">
        <v>74</v>
      </c>
      <c r="AR261" t="s">
        <v>4373</v>
      </c>
      <c r="AS261" t="s">
        <v>4374</v>
      </c>
      <c r="AT261" t="s">
        <v>95</v>
      </c>
      <c r="AU261">
        <v>2006</v>
      </c>
      <c r="AV261">
        <v>118</v>
      </c>
      <c r="AW261">
        <v>839</v>
      </c>
      <c r="AX261" t="s">
        <v>74</v>
      </c>
      <c r="AY261" t="s">
        <v>74</v>
      </c>
      <c r="AZ261" t="s">
        <v>74</v>
      </c>
      <c r="BA261" t="s">
        <v>74</v>
      </c>
      <c r="BB261">
        <v>94</v>
      </c>
      <c r="BC261">
        <v>97</v>
      </c>
      <c r="BD261" t="s">
        <v>74</v>
      </c>
      <c r="BE261" t="s">
        <v>4375</v>
      </c>
      <c r="BF261" t="str">
        <f>HYPERLINK("http://dx.doi.org/10.1086/498355","http://dx.doi.org/10.1086/498355")</f>
        <v>http://dx.doi.org/10.1086/498355</v>
      </c>
      <c r="BG261" t="s">
        <v>74</v>
      </c>
      <c r="BH261" t="s">
        <v>74</v>
      </c>
      <c r="BI261">
        <v>4</v>
      </c>
      <c r="BJ261" t="s">
        <v>4376</v>
      </c>
      <c r="BK261" t="s">
        <v>98</v>
      </c>
      <c r="BL261" t="s">
        <v>4376</v>
      </c>
      <c r="BM261" t="s">
        <v>4377</v>
      </c>
      <c r="BN261" t="s">
        <v>74</v>
      </c>
      <c r="BO261" t="s">
        <v>1900</v>
      </c>
      <c r="BP261" t="s">
        <v>74</v>
      </c>
      <c r="BQ261" t="s">
        <v>74</v>
      </c>
      <c r="BR261" t="s">
        <v>101</v>
      </c>
      <c r="BS261" t="s">
        <v>4378</v>
      </c>
      <c r="BT261" t="str">
        <f>HYPERLINK("https%3A%2F%2Fwww.webofscience.com%2Fwos%2Fwoscc%2Ffull-record%2FWOS:000234711700008","View Full Record in Web of Science")</f>
        <v>View Full Record in Web of Science</v>
      </c>
    </row>
    <row r="262" spans="1:72" x14ac:dyDescent="0.15">
      <c r="A262" t="s">
        <v>72</v>
      </c>
      <c r="B262" t="s">
        <v>4379</v>
      </c>
      <c r="C262" t="s">
        <v>74</v>
      </c>
      <c r="D262" t="s">
        <v>74</v>
      </c>
      <c r="E262" t="s">
        <v>74</v>
      </c>
      <c r="F262" t="s">
        <v>4379</v>
      </c>
      <c r="G262" t="s">
        <v>74</v>
      </c>
      <c r="H262" t="s">
        <v>74</v>
      </c>
      <c r="I262" t="s">
        <v>4380</v>
      </c>
      <c r="J262" t="s">
        <v>4381</v>
      </c>
      <c r="K262" t="s">
        <v>74</v>
      </c>
      <c r="L262" t="s">
        <v>74</v>
      </c>
      <c r="M262" t="s">
        <v>77</v>
      </c>
      <c r="N262" t="s">
        <v>78</v>
      </c>
      <c r="O262" t="s">
        <v>74</v>
      </c>
      <c r="P262" t="s">
        <v>74</v>
      </c>
      <c r="Q262" t="s">
        <v>74</v>
      </c>
      <c r="R262" t="s">
        <v>74</v>
      </c>
      <c r="S262" t="s">
        <v>74</v>
      </c>
      <c r="T262" t="s">
        <v>4382</v>
      </c>
      <c r="U262" t="s">
        <v>4383</v>
      </c>
      <c r="V262" t="s">
        <v>4384</v>
      </c>
      <c r="W262" t="s">
        <v>4385</v>
      </c>
      <c r="X262" t="s">
        <v>4386</v>
      </c>
      <c r="Y262" t="s">
        <v>4387</v>
      </c>
      <c r="Z262" t="s">
        <v>4388</v>
      </c>
      <c r="AA262" t="s">
        <v>4389</v>
      </c>
      <c r="AB262" t="s">
        <v>4390</v>
      </c>
      <c r="AC262" t="s">
        <v>74</v>
      </c>
      <c r="AD262" t="s">
        <v>74</v>
      </c>
      <c r="AE262" t="s">
        <v>74</v>
      </c>
      <c r="AF262" t="s">
        <v>74</v>
      </c>
      <c r="AG262">
        <v>55</v>
      </c>
      <c r="AH262">
        <v>7</v>
      </c>
      <c r="AI262">
        <v>9</v>
      </c>
      <c r="AJ262">
        <v>0</v>
      </c>
      <c r="AK262">
        <v>9</v>
      </c>
      <c r="AL262" t="s">
        <v>2025</v>
      </c>
      <c r="AM262" t="s">
        <v>2026</v>
      </c>
      <c r="AN262" t="s">
        <v>2027</v>
      </c>
      <c r="AO262" t="s">
        <v>4391</v>
      </c>
      <c r="AP262" t="s">
        <v>4392</v>
      </c>
      <c r="AQ262" t="s">
        <v>74</v>
      </c>
      <c r="AR262" t="s">
        <v>4393</v>
      </c>
      <c r="AS262" t="s">
        <v>4394</v>
      </c>
      <c r="AT262" t="s">
        <v>95</v>
      </c>
      <c r="AU262">
        <v>2006</v>
      </c>
      <c r="AV262">
        <v>132</v>
      </c>
      <c r="AW262">
        <v>615</v>
      </c>
      <c r="AX262" t="s">
        <v>374</v>
      </c>
      <c r="AY262" t="s">
        <v>74</v>
      </c>
      <c r="AZ262" t="s">
        <v>74</v>
      </c>
      <c r="BA262" t="s">
        <v>74</v>
      </c>
      <c r="BB262">
        <v>447</v>
      </c>
      <c r="BC262">
        <v>465</v>
      </c>
      <c r="BD262" t="s">
        <v>74</v>
      </c>
      <c r="BE262" t="s">
        <v>4395</v>
      </c>
      <c r="BF262" t="str">
        <f>HYPERLINK("http://dx.doi.org/10.1256/qj.05.05","http://dx.doi.org/10.1256/qj.05.05")</f>
        <v>http://dx.doi.org/10.1256/qj.05.05</v>
      </c>
      <c r="BG262" t="s">
        <v>74</v>
      </c>
      <c r="BH262" t="s">
        <v>74</v>
      </c>
      <c r="BI262">
        <v>19</v>
      </c>
      <c r="BJ262" t="s">
        <v>2033</v>
      </c>
      <c r="BK262" t="s">
        <v>98</v>
      </c>
      <c r="BL262" t="s">
        <v>2033</v>
      </c>
      <c r="BM262" t="s">
        <v>4396</v>
      </c>
      <c r="BN262" t="s">
        <v>74</v>
      </c>
      <c r="BO262" t="s">
        <v>74</v>
      </c>
      <c r="BP262" t="s">
        <v>74</v>
      </c>
      <c r="BQ262" t="s">
        <v>74</v>
      </c>
      <c r="BR262" t="s">
        <v>101</v>
      </c>
      <c r="BS262" t="s">
        <v>4397</v>
      </c>
      <c r="BT262" t="str">
        <f>HYPERLINK("https%3A%2F%2Fwww.webofscience.com%2Fwos%2Fwoscc%2Ffull-record%2FWOS:000236697900010","View Full Record in Web of Science")</f>
        <v>View Full Record in Web of Science</v>
      </c>
    </row>
    <row r="263" spans="1:72" x14ac:dyDescent="0.15">
      <c r="A263" t="s">
        <v>72</v>
      </c>
      <c r="B263" t="s">
        <v>4398</v>
      </c>
      <c r="C263" t="s">
        <v>74</v>
      </c>
      <c r="D263" t="s">
        <v>74</v>
      </c>
      <c r="E263" t="s">
        <v>74</v>
      </c>
      <c r="F263" t="s">
        <v>4398</v>
      </c>
      <c r="G263" t="s">
        <v>74</v>
      </c>
      <c r="H263" t="s">
        <v>74</v>
      </c>
      <c r="I263" t="s">
        <v>4399</v>
      </c>
      <c r="J263" t="s">
        <v>4400</v>
      </c>
      <c r="K263" t="s">
        <v>74</v>
      </c>
      <c r="L263" t="s">
        <v>74</v>
      </c>
      <c r="M263" t="s">
        <v>77</v>
      </c>
      <c r="N263" t="s">
        <v>78</v>
      </c>
      <c r="O263" t="s">
        <v>74</v>
      </c>
      <c r="P263" t="s">
        <v>74</v>
      </c>
      <c r="Q263" t="s">
        <v>74</v>
      </c>
      <c r="R263" t="s">
        <v>74</v>
      </c>
      <c r="S263" t="s">
        <v>74</v>
      </c>
      <c r="T263" t="s">
        <v>4401</v>
      </c>
      <c r="U263" t="s">
        <v>4402</v>
      </c>
      <c r="V263" t="s">
        <v>4403</v>
      </c>
      <c r="W263" t="s">
        <v>4404</v>
      </c>
      <c r="X263" t="s">
        <v>4405</v>
      </c>
      <c r="Y263" t="s">
        <v>4406</v>
      </c>
      <c r="Z263" t="s">
        <v>4407</v>
      </c>
      <c r="AA263" t="s">
        <v>74</v>
      </c>
      <c r="AB263" t="s">
        <v>4408</v>
      </c>
      <c r="AC263" t="s">
        <v>74</v>
      </c>
      <c r="AD263" t="s">
        <v>74</v>
      </c>
      <c r="AE263" t="s">
        <v>74</v>
      </c>
      <c r="AF263" t="s">
        <v>74</v>
      </c>
      <c r="AG263">
        <v>54</v>
      </c>
      <c r="AH263">
        <v>6</v>
      </c>
      <c r="AI263">
        <v>6</v>
      </c>
      <c r="AJ263">
        <v>0</v>
      </c>
      <c r="AK263">
        <v>7</v>
      </c>
      <c r="AL263" t="s">
        <v>4409</v>
      </c>
      <c r="AM263" t="s">
        <v>4410</v>
      </c>
      <c r="AN263" t="s">
        <v>4411</v>
      </c>
      <c r="AO263" t="s">
        <v>4412</v>
      </c>
      <c r="AP263" t="s">
        <v>74</v>
      </c>
      <c r="AQ263" t="s">
        <v>74</v>
      </c>
      <c r="AR263" t="s">
        <v>4413</v>
      </c>
      <c r="AS263" t="s">
        <v>4414</v>
      </c>
      <c r="AT263" t="s">
        <v>95</v>
      </c>
      <c r="AU263">
        <v>2006</v>
      </c>
      <c r="AV263">
        <v>65</v>
      </c>
      <c r="AW263">
        <v>1</v>
      </c>
      <c r="AX263" t="s">
        <v>74</v>
      </c>
      <c r="AY263" t="s">
        <v>74</v>
      </c>
      <c r="AZ263" t="s">
        <v>74</v>
      </c>
      <c r="BA263" t="s">
        <v>74</v>
      </c>
      <c r="BB263">
        <v>57</v>
      </c>
      <c r="BC263">
        <v>69</v>
      </c>
      <c r="BD263" t="s">
        <v>74</v>
      </c>
      <c r="BE263" t="s">
        <v>4415</v>
      </c>
      <c r="BF263" t="str">
        <f>HYPERLINK("http://dx.doi.org/10.1016/j.yqres.2005.07.002","http://dx.doi.org/10.1016/j.yqres.2005.07.002")</f>
        <v>http://dx.doi.org/10.1016/j.yqres.2005.07.002</v>
      </c>
      <c r="BG263" t="s">
        <v>74</v>
      </c>
      <c r="BH263" t="s">
        <v>74</v>
      </c>
      <c r="BI263">
        <v>13</v>
      </c>
      <c r="BJ263" t="s">
        <v>2246</v>
      </c>
      <c r="BK263" t="s">
        <v>98</v>
      </c>
      <c r="BL263" t="s">
        <v>1531</v>
      </c>
      <c r="BM263" t="s">
        <v>4416</v>
      </c>
      <c r="BN263" t="s">
        <v>74</v>
      </c>
      <c r="BO263" t="s">
        <v>74</v>
      </c>
      <c r="BP263" t="s">
        <v>74</v>
      </c>
      <c r="BQ263" t="s">
        <v>74</v>
      </c>
      <c r="BR263" t="s">
        <v>101</v>
      </c>
      <c r="BS263" t="s">
        <v>4417</v>
      </c>
      <c r="BT263" t="str">
        <f>HYPERLINK("https%3A%2F%2Fwww.webofscience.com%2Fwos%2Fwoscc%2Ffull-record%2FWOS:000234693400006","View Full Record in Web of Science")</f>
        <v>View Full Record in Web of Science</v>
      </c>
    </row>
    <row r="264" spans="1:72" x14ac:dyDescent="0.15">
      <c r="A264" t="s">
        <v>72</v>
      </c>
      <c r="B264" t="s">
        <v>4418</v>
      </c>
      <c r="C264" t="s">
        <v>74</v>
      </c>
      <c r="D264" t="s">
        <v>74</v>
      </c>
      <c r="E264" t="s">
        <v>74</v>
      </c>
      <c r="F264" t="s">
        <v>4418</v>
      </c>
      <c r="G264" t="s">
        <v>74</v>
      </c>
      <c r="H264" t="s">
        <v>74</v>
      </c>
      <c r="I264" t="s">
        <v>4419</v>
      </c>
      <c r="J264" t="s">
        <v>4420</v>
      </c>
      <c r="K264" t="s">
        <v>74</v>
      </c>
      <c r="L264" t="s">
        <v>74</v>
      </c>
      <c r="M264" t="s">
        <v>77</v>
      </c>
      <c r="N264" t="s">
        <v>78</v>
      </c>
      <c r="O264" t="s">
        <v>74</v>
      </c>
      <c r="P264" t="s">
        <v>74</v>
      </c>
      <c r="Q264" t="s">
        <v>74</v>
      </c>
      <c r="R264" t="s">
        <v>74</v>
      </c>
      <c r="S264" t="s">
        <v>74</v>
      </c>
      <c r="T264" t="s">
        <v>74</v>
      </c>
      <c r="U264" t="s">
        <v>4421</v>
      </c>
      <c r="V264" t="s">
        <v>4422</v>
      </c>
      <c r="W264" t="s">
        <v>4423</v>
      </c>
      <c r="X264" t="s">
        <v>4424</v>
      </c>
      <c r="Y264" t="s">
        <v>4425</v>
      </c>
      <c r="Z264" t="s">
        <v>4426</v>
      </c>
      <c r="AA264" t="s">
        <v>4427</v>
      </c>
      <c r="AB264" t="s">
        <v>4428</v>
      </c>
      <c r="AC264" t="s">
        <v>74</v>
      </c>
      <c r="AD264" t="s">
        <v>74</v>
      </c>
      <c r="AE264" t="s">
        <v>74</v>
      </c>
      <c r="AF264" t="s">
        <v>74</v>
      </c>
      <c r="AG264">
        <v>51</v>
      </c>
      <c r="AH264">
        <v>69</v>
      </c>
      <c r="AI264">
        <v>82</v>
      </c>
      <c r="AJ264">
        <v>0</v>
      </c>
      <c r="AK264">
        <v>16</v>
      </c>
      <c r="AL264" t="s">
        <v>622</v>
      </c>
      <c r="AM264" t="s">
        <v>140</v>
      </c>
      <c r="AN264" t="s">
        <v>623</v>
      </c>
      <c r="AO264" t="s">
        <v>4429</v>
      </c>
      <c r="AP264" t="s">
        <v>74</v>
      </c>
      <c r="AQ264" t="s">
        <v>74</v>
      </c>
      <c r="AR264" t="s">
        <v>4430</v>
      </c>
      <c r="AS264" t="s">
        <v>4431</v>
      </c>
      <c r="AT264" t="s">
        <v>95</v>
      </c>
      <c r="AU264">
        <v>2006</v>
      </c>
      <c r="AV264">
        <v>25</v>
      </c>
      <c r="AW264" t="s">
        <v>485</v>
      </c>
      <c r="AX264" t="s">
        <v>74</v>
      </c>
      <c r="AY264" t="s">
        <v>74</v>
      </c>
      <c r="AZ264" t="s">
        <v>74</v>
      </c>
      <c r="BA264" t="s">
        <v>74</v>
      </c>
      <c r="BB264">
        <v>49</v>
      </c>
      <c r="BC264">
        <v>62</v>
      </c>
      <c r="BD264" t="s">
        <v>74</v>
      </c>
      <c r="BE264" t="s">
        <v>4432</v>
      </c>
      <c r="BF264" t="str">
        <f>HYPERLINK("http://dx.doi.org/10.1016/j.quascirev.2005.06.007","http://dx.doi.org/10.1016/j.quascirev.2005.06.007")</f>
        <v>http://dx.doi.org/10.1016/j.quascirev.2005.06.007</v>
      </c>
      <c r="BG264" t="s">
        <v>74</v>
      </c>
      <c r="BH264" t="s">
        <v>74</v>
      </c>
      <c r="BI264">
        <v>14</v>
      </c>
      <c r="BJ264" t="s">
        <v>2246</v>
      </c>
      <c r="BK264" t="s">
        <v>98</v>
      </c>
      <c r="BL264" t="s">
        <v>1531</v>
      </c>
      <c r="BM264" t="s">
        <v>4433</v>
      </c>
      <c r="BN264" t="s">
        <v>74</v>
      </c>
      <c r="BO264" t="s">
        <v>74</v>
      </c>
      <c r="BP264" t="s">
        <v>74</v>
      </c>
      <c r="BQ264" t="s">
        <v>74</v>
      </c>
      <c r="BR264" t="s">
        <v>101</v>
      </c>
      <c r="BS264" t="s">
        <v>4434</v>
      </c>
      <c r="BT264" t="str">
        <f>HYPERLINK("https%3A%2F%2Fwww.webofscience.com%2Fwos%2Fwoscc%2Ffull-record%2FWOS:000234983000004","View Full Record in Web of Science")</f>
        <v>View Full Record in Web of Science</v>
      </c>
    </row>
    <row r="265" spans="1:72" x14ac:dyDescent="0.15">
      <c r="A265" t="s">
        <v>72</v>
      </c>
      <c r="B265" t="s">
        <v>4435</v>
      </c>
      <c r="C265" t="s">
        <v>74</v>
      </c>
      <c r="D265" t="s">
        <v>74</v>
      </c>
      <c r="E265" t="s">
        <v>74</v>
      </c>
      <c r="F265" t="s">
        <v>4435</v>
      </c>
      <c r="G265" t="s">
        <v>74</v>
      </c>
      <c r="H265" t="s">
        <v>74</v>
      </c>
      <c r="I265" t="s">
        <v>4436</v>
      </c>
      <c r="J265" t="s">
        <v>4420</v>
      </c>
      <c r="K265" t="s">
        <v>74</v>
      </c>
      <c r="L265" t="s">
        <v>74</v>
      </c>
      <c r="M265" t="s">
        <v>77</v>
      </c>
      <c r="N265" t="s">
        <v>78</v>
      </c>
      <c r="O265" t="s">
        <v>74</v>
      </c>
      <c r="P265" t="s">
        <v>74</v>
      </c>
      <c r="Q265" t="s">
        <v>74</v>
      </c>
      <c r="R265" t="s">
        <v>74</v>
      </c>
      <c r="S265" t="s">
        <v>74</v>
      </c>
      <c r="T265" t="s">
        <v>74</v>
      </c>
      <c r="U265" t="s">
        <v>4437</v>
      </c>
      <c r="V265" t="s">
        <v>4438</v>
      </c>
      <c r="W265" t="s">
        <v>4439</v>
      </c>
      <c r="X265" t="s">
        <v>4440</v>
      </c>
      <c r="Y265" t="s">
        <v>4441</v>
      </c>
      <c r="Z265" t="s">
        <v>4442</v>
      </c>
      <c r="AA265" t="s">
        <v>4443</v>
      </c>
      <c r="AB265" t="s">
        <v>4444</v>
      </c>
      <c r="AC265" t="s">
        <v>4445</v>
      </c>
      <c r="AD265" t="s">
        <v>735</v>
      </c>
      <c r="AE265" t="s">
        <v>74</v>
      </c>
      <c r="AF265" t="s">
        <v>74</v>
      </c>
      <c r="AG265">
        <v>61</v>
      </c>
      <c r="AH265">
        <v>59</v>
      </c>
      <c r="AI265">
        <v>66</v>
      </c>
      <c r="AJ265">
        <v>1</v>
      </c>
      <c r="AK265">
        <v>12</v>
      </c>
      <c r="AL265" t="s">
        <v>622</v>
      </c>
      <c r="AM265" t="s">
        <v>140</v>
      </c>
      <c r="AN265" t="s">
        <v>623</v>
      </c>
      <c r="AO265" t="s">
        <v>4429</v>
      </c>
      <c r="AP265" t="s">
        <v>74</v>
      </c>
      <c r="AQ265" t="s">
        <v>74</v>
      </c>
      <c r="AR265" t="s">
        <v>4430</v>
      </c>
      <c r="AS265" t="s">
        <v>4431</v>
      </c>
      <c r="AT265" t="s">
        <v>95</v>
      </c>
      <c r="AU265">
        <v>2006</v>
      </c>
      <c r="AV265">
        <v>25</v>
      </c>
      <c r="AW265" t="s">
        <v>485</v>
      </c>
      <c r="AX265" t="s">
        <v>74</v>
      </c>
      <c r="AY265" t="s">
        <v>74</v>
      </c>
      <c r="AZ265" t="s">
        <v>74</v>
      </c>
      <c r="BA265" t="s">
        <v>74</v>
      </c>
      <c r="BB265">
        <v>179</v>
      </c>
      <c r="BC265">
        <v>197</v>
      </c>
      <c r="BD265" t="s">
        <v>74</v>
      </c>
      <c r="BE265" t="s">
        <v>4446</v>
      </c>
      <c r="BF265" t="str">
        <f>HYPERLINK("http://dx.doi.org/10.1016/j.quascirev.2005.03.004","http://dx.doi.org/10.1016/j.quascirev.2005.03.004")</f>
        <v>http://dx.doi.org/10.1016/j.quascirev.2005.03.004</v>
      </c>
      <c r="BG265" t="s">
        <v>74</v>
      </c>
      <c r="BH265" t="s">
        <v>74</v>
      </c>
      <c r="BI265">
        <v>19</v>
      </c>
      <c r="BJ265" t="s">
        <v>2246</v>
      </c>
      <c r="BK265" t="s">
        <v>98</v>
      </c>
      <c r="BL265" t="s">
        <v>1531</v>
      </c>
      <c r="BM265" t="s">
        <v>4433</v>
      </c>
      <c r="BN265" t="s">
        <v>74</v>
      </c>
      <c r="BO265" t="s">
        <v>74</v>
      </c>
      <c r="BP265" t="s">
        <v>74</v>
      </c>
      <c r="BQ265" t="s">
        <v>74</v>
      </c>
      <c r="BR265" t="s">
        <v>101</v>
      </c>
      <c r="BS265" t="s">
        <v>4447</v>
      </c>
      <c r="BT265" t="str">
        <f>HYPERLINK("https%3A%2F%2Fwww.webofscience.com%2Fwos%2Fwoscc%2Ffull-record%2FWOS:000234983000011","View Full Record in Web of Science")</f>
        <v>View Full Record in Web of Science</v>
      </c>
    </row>
    <row r="266" spans="1:72" x14ac:dyDescent="0.15">
      <c r="A266" t="s">
        <v>72</v>
      </c>
      <c r="B266" t="s">
        <v>4448</v>
      </c>
      <c r="C266" t="s">
        <v>74</v>
      </c>
      <c r="D266" t="s">
        <v>74</v>
      </c>
      <c r="E266" t="s">
        <v>74</v>
      </c>
      <c r="F266" t="s">
        <v>4449</v>
      </c>
      <c r="G266" t="s">
        <v>74</v>
      </c>
      <c r="H266" t="s">
        <v>74</v>
      </c>
      <c r="I266" t="s">
        <v>4450</v>
      </c>
      <c r="J266" t="s">
        <v>4451</v>
      </c>
      <c r="K266" t="s">
        <v>74</v>
      </c>
      <c r="L266" t="s">
        <v>74</v>
      </c>
      <c r="M266" t="s">
        <v>77</v>
      </c>
      <c r="N266" t="s">
        <v>78</v>
      </c>
      <c r="O266" t="s">
        <v>74</v>
      </c>
      <c r="P266" t="s">
        <v>74</v>
      </c>
      <c r="Q266" t="s">
        <v>74</v>
      </c>
      <c r="R266" t="s">
        <v>74</v>
      </c>
      <c r="S266" t="s">
        <v>74</v>
      </c>
      <c r="T266" t="s">
        <v>74</v>
      </c>
      <c r="U266" t="s">
        <v>4452</v>
      </c>
      <c r="V266" t="s">
        <v>4453</v>
      </c>
      <c r="W266" t="s">
        <v>4454</v>
      </c>
      <c r="X266" t="s">
        <v>4455</v>
      </c>
      <c r="Y266" t="s">
        <v>4456</v>
      </c>
      <c r="Z266" t="s">
        <v>4457</v>
      </c>
      <c r="AA266" t="s">
        <v>4458</v>
      </c>
      <c r="AB266" t="s">
        <v>4459</v>
      </c>
      <c r="AC266" t="s">
        <v>74</v>
      </c>
      <c r="AD266" t="s">
        <v>74</v>
      </c>
      <c r="AE266" t="s">
        <v>74</v>
      </c>
      <c r="AF266" t="s">
        <v>74</v>
      </c>
      <c r="AG266">
        <v>21</v>
      </c>
      <c r="AH266">
        <v>10</v>
      </c>
      <c r="AI266">
        <v>11</v>
      </c>
      <c r="AJ266">
        <v>0</v>
      </c>
      <c r="AK266">
        <v>18</v>
      </c>
      <c r="AL266" t="s">
        <v>4460</v>
      </c>
      <c r="AM266" t="s">
        <v>4461</v>
      </c>
      <c r="AN266" t="s">
        <v>4462</v>
      </c>
      <c r="AO266" t="s">
        <v>4463</v>
      </c>
      <c r="AP266" t="s">
        <v>74</v>
      </c>
      <c r="AQ266" t="s">
        <v>74</v>
      </c>
      <c r="AR266" t="s">
        <v>4464</v>
      </c>
      <c r="AS266" t="s">
        <v>4465</v>
      </c>
      <c r="AT266" t="s">
        <v>74</v>
      </c>
      <c r="AU266">
        <v>2006</v>
      </c>
      <c r="AV266">
        <v>20</v>
      </c>
      <c r="AW266">
        <v>20</v>
      </c>
      <c r="AX266" t="s">
        <v>74</v>
      </c>
      <c r="AY266" t="s">
        <v>74</v>
      </c>
      <c r="AZ266" t="s">
        <v>74</v>
      </c>
      <c r="BA266" t="s">
        <v>74</v>
      </c>
      <c r="BB266">
        <v>3018</v>
      </c>
      <c r="BC266">
        <v>3022</v>
      </c>
      <c r="BD266" t="s">
        <v>74</v>
      </c>
      <c r="BE266" t="s">
        <v>4466</v>
      </c>
      <c r="BF266" t="str">
        <f>HYPERLINK("http://dx.doi.org/10.1002/rcm.2686","http://dx.doi.org/10.1002/rcm.2686")</f>
        <v>http://dx.doi.org/10.1002/rcm.2686</v>
      </c>
      <c r="BG266" t="s">
        <v>74</v>
      </c>
      <c r="BH266" t="s">
        <v>74</v>
      </c>
      <c r="BI266">
        <v>5</v>
      </c>
      <c r="BJ266" t="s">
        <v>4467</v>
      </c>
      <c r="BK266" t="s">
        <v>98</v>
      </c>
      <c r="BL266" t="s">
        <v>4468</v>
      </c>
      <c r="BM266" t="s">
        <v>4469</v>
      </c>
      <c r="BN266">
        <v>16969768</v>
      </c>
      <c r="BO266" t="s">
        <v>74</v>
      </c>
      <c r="BP266" t="s">
        <v>74</v>
      </c>
      <c r="BQ266" t="s">
        <v>74</v>
      </c>
      <c r="BR266" t="s">
        <v>101</v>
      </c>
      <c r="BS266" t="s">
        <v>4470</v>
      </c>
      <c r="BT266" t="str">
        <f>HYPERLINK("https%3A%2F%2Fwww.webofscience.com%2Fwos%2Fwoscc%2Ffull-record%2FWOS:000241332500003","View Full Record in Web of Science")</f>
        <v>View Full Record in Web of Science</v>
      </c>
    </row>
    <row r="267" spans="1:72" x14ac:dyDescent="0.15">
      <c r="A267" t="s">
        <v>297</v>
      </c>
      <c r="B267" t="s">
        <v>4471</v>
      </c>
      <c r="C267" t="s">
        <v>74</v>
      </c>
      <c r="D267" t="s">
        <v>4472</v>
      </c>
      <c r="E267" t="s">
        <v>74</v>
      </c>
      <c r="F267" t="s">
        <v>4473</v>
      </c>
      <c r="G267" t="s">
        <v>74</v>
      </c>
      <c r="H267" t="s">
        <v>74</v>
      </c>
      <c r="I267" t="s">
        <v>4474</v>
      </c>
      <c r="J267" t="s">
        <v>4475</v>
      </c>
      <c r="K267" t="s">
        <v>4476</v>
      </c>
      <c r="L267" t="s">
        <v>74</v>
      </c>
      <c r="M267" t="s">
        <v>77</v>
      </c>
      <c r="N267" t="s">
        <v>304</v>
      </c>
      <c r="O267" t="s">
        <v>4477</v>
      </c>
      <c r="P267" t="s">
        <v>4478</v>
      </c>
      <c r="Q267" t="s">
        <v>4479</v>
      </c>
      <c r="R267" t="s">
        <v>74</v>
      </c>
      <c r="S267" t="s">
        <v>74</v>
      </c>
      <c r="T267" t="s">
        <v>74</v>
      </c>
      <c r="U267" t="s">
        <v>4480</v>
      </c>
      <c r="V267" t="s">
        <v>4481</v>
      </c>
      <c r="W267" t="s">
        <v>4482</v>
      </c>
      <c r="X267" t="s">
        <v>788</v>
      </c>
      <c r="Y267" t="s">
        <v>4483</v>
      </c>
      <c r="Z267" t="s">
        <v>74</v>
      </c>
      <c r="AA267" t="s">
        <v>4484</v>
      </c>
      <c r="AB267" t="s">
        <v>4485</v>
      </c>
      <c r="AC267" t="s">
        <v>4486</v>
      </c>
      <c r="AD267" t="s">
        <v>3395</v>
      </c>
      <c r="AE267" t="s">
        <v>74</v>
      </c>
      <c r="AF267" t="s">
        <v>74</v>
      </c>
      <c r="AG267">
        <v>123</v>
      </c>
      <c r="AH267">
        <v>34</v>
      </c>
      <c r="AI267">
        <v>34</v>
      </c>
      <c r="AJ267">
        <v>0</v>
      </c>
      <c r="AK267">
        <v>2</v>
      </c>
      <c r="AL267" t="s">
        <v>4487</v>
      </c>
      <c r="AM267" t="s">
        <v>2541</v>
      </c>
      <c r="AN267" t="s">
        <v>4488</v>
      </c>
      <c r="AO267" t="s">
        <v>4489</v>
      </c>
      <c r="AP267" t="s">
        <v>74</v>
      </c>
      <c r="AQ267" t="s">
        <v>4490</v>
      </c>
      <c r="AR267" t="s">
        <v>4491</v>
      </c>
      <c r="AS267" t="s">
        <v>74</v>
      </c>
      <c r="AT267" t="s">
        <v>74</v>
      </c>
      <c r="AU267">
        <v>2006</v>
      </c>
      <c r="AV267">
        <v>167</v>
      </c>
      <c r="AW267" t="s">
        <v>74</v>
      </c>
      <c r="AX267" t="s">
        <v>74</v>
      </c>
      <c r="AY267" t="s">
        <v>74</v>
      </c>
      <c r="AZ267" t="s">
        <v>74</v>
      </c>
      <c r="BA267" t="s">
        <v>74</v>
      </c>
      <c r="BB267">
        <v>151</v>
      </c>
      <c r="BC267">
        <v>173</v>
      </c>
      <c r="BD267" t="s">
        <v>74</v>
      </c>
      <c r="BE267" t="s">
        <v>4492</v>
      </c>
      <c r="BF267" t="str">
        <f>HYPERLINK("http://dx.doi.org/10.1029/167GM14","http://dx.doi.org/10.1029/167GM14")</f>
        <v>http://dx.doi.org/10.1029/167GM14</v>
      </c>
      <c r="BG267" t="s">
        <v>74</v>
      </c>
      <c r="BH267" t="s">
        <v>74</v>
      </c>
      <c r="BI267">
        <v>23</v>
      </c>
      <c r="BJ267" t="s">
        <v>1348</v>
      </c>
      <c r="BK267" t="s">
        <v>328</v>
      </c>
      <c r="BL267" t="s">
        <v>1348</v>
      </c>
      <c r="BM267" t="s">
        <v>4493</v>
      </c>
      <c r="BN267" t="s">
        <v>74</v>
      </c>
      <c r="BO267" t="s">
        <v>74</v>
      </c>
      <c r="BP267" t="s">
        <v>74</v>
      </c>
      <c r="BQ267" t="s">
        <v>74</v>
      </c>
      <c r="BR267" t="s">
        <v>101</v>
      </c>
      <c r="BS267" t="s">
        <v>4494</v>
      </c>
      <c r="BT267" t="str">
        <f>HYPERLINK("https%3A%2F%2Fwww.webofscience.com%2Fwos%2Fwoscc%2Ffull-record%2FWOS:000245238200012","View Full Record in Web of Science")</f>
        <v>View Full Record in Web of Science</v>
      </c>
    </row>
    <row r="268" spans="1:72" x14ac:dyDescent="0.15">
      <c r="A268" t="s">
        <v>297</v>
      </c>
      <c r="B268" t="s">
        <v>4495</v>
      </c>
      <c r="C268" t="s">
        <v>74</v>
      </c>
      <c r="D268" t="s">
        <v>4496</v>
      </c>
      <c r="E268" t="s">
        <v>74</v>
      </c>
      <c r="F268" t="s">
        <v>4497</v>
      </c>
      <c r="G268" t="s">
        <v>74</v>
      </c>
      <c r="H268" t="s">
        <v>74</v>
      </c>
      <c r="I268" t="s">
        <v>4498</v>
      </c>
      <c r="J268" t="s">
        <v>4499</v>
      </c>
      <c r="K268" t="s">
        <v>4500</v>
      </c>
      <c r="L268" t="s">
        <v>74</v>
      </c>
      <c r="M268" t="s">
        <v>77</v>
      </c>
      <c r="N268" t="s">
        <v>304</v>
      </c>
      <c r="O268" t="s">
        <v>4501</v>
      </c>
      <c r="P268" t="s">
        <v>4502</v>
      </c>
      <c r="Q268" t="s">
        <v>4503</v>
      </c>
      <c r="R268" t="s">
        <v>74</v>
      </c>
      <c r="S268" t="s">
        <v>74</v>
      </c>
      <c r="T268" t="s">
        <v>4504</v>
      </c>
      <c r="U268" t="s">
        <v>4505</v>
      </c>
      <c r="V268" t="s">
        <v>4506</v>
      </c>
      <c r="W268" t="s">
        <v>4482</v>
      </c>
      <c r="X268" t="s">
        <v>788</v>
      </c>
      <c r="Y268" t="s">
        <v>4507</v>
      </c>
      <c r="Z268" t="s">
        <v>74</v>
      </c>
      <c r="AA268" t="s">
        <v>74</v>
      </c>
      <c r="AB268" t="s">
        <v>74</v>
      </c>
      <c r="AC268" t="s">
        <v>4486</v>
      </c>
      <c r="AD268" t="s">
        <v>3395</v>
      </c>
      <c r="AE268" t="s">
        <v>74</v>
      </c>
      <c r="AF268" t="s">
        <v>74</v>
      </c>
      <c r="AG268">
        <v>27</v>
      </c>
      <c r="AH268">
        <v>7</v>
      </c>
      <c r="AI268">
        <v>7</v>
      </c>
      <c r="AJ268">
        <v>2</v>
      </c>
      <c r="AK268">
        <v>5</v>
      </c>
      <c r="AL268" t="s">
        <v>318</v>
      </c>
      <c r="AM268" t="s">
        <v>319</v>
      </c>
      <c r="AN268" t="s">
        <v>320</v>
      </c>
      <c r="AO268" t="s">
        <v>321</v>
      </c>
      <c r="AP268" t="s">
        <v>74</v>
      </c>
      <c r="AQ268" t="s">
        <v>4508</v>
      </c>
      <c r="AR268" t="s">
        <v>4509</v>
      </c>
      <c r="AS268" t="s">
        <v>74</v>
      </c>
      <c r="AT268" t="s">
        <v>74</v>
      </c>
      <c r="AU268">
        <v>2006</v>
      </c>
      <c r="AV268">
        <v>6362</v>
      </c>
      <c r="AW268" t="s">
        <v>74</v>
      </c>
      <c r="AX268" t="s">
        <v>74</v>
      </c>
      <c r="AY268" t="s">
        <v>74</v>
      </c>
      <c r="AZ268" t="s">
        <v>74</v>
      </c>
      <c r="BA268" t="s">
        <v>74</v>
      </c>
      <c r="BB268" t="s">
        <v>4510</v>
      </c>
      <c r="BC268" t="s">
        <v>4511</v>
      </c>
      <c r="BD268" t="s">
        <v>74</v>
      </c>
      <c r="BE268" t="s">
        <v>4512</v>
      </c>
      <c r="BF268" t="str">
        <f>HYPERLINK("http://dx.doi.org/10.1117/12.688953","http://dx.doi.org/10.1117/12.688953")</f>
        <v>http://dx.doi.org/10.1117/12.688953</v>
      </c>
      <c r="BG268" t="s">
        <v>74</v>
      </c>
      <c r="BH268" t="s">
        <v>74</v>
      </c>
      <c r="BI268">
        <v>9</v>
      </c>
      <c r="BJ268" t="s">
        <v>4513</v>
      </c>
      <c r="BK268" t="s">
        <v>328</v>
      </c>
      <c r="BL268" t="s">
        <v>4513</v>
      </c>
      <c r="BM268" t="s">
        <v>4514</v>
      </c>
      <c r="BN268" t="s">
        <v>74</v>
      </c>
      <c r="BO268" t="s">
        <v>74</v>
      </c>
      <c r="BP268" t="s">
        <v>74</v>
      </c>
      <c r="BQ268" t="s">
        <v>74</v>
      </c>
      <c r="BR268" t="s">
        <v>101</v>
      </c>
      <c r="BS268" t="s">
        <v>4515</v>
      </c>
      <c r="BT268" t="str">
        <f>HYPERLINK("https%3A%2F%2Fwww.webofscience.com%2Fwos%2Fwoscc%2Ffull-record%2FWOS:000243894900015","View Full Record in Web of Science")</f>
        <v>View Full Record in Web of Science</v>
      </c>
    </row>
    <row r="269" spans="1:72" x14ac:dyDescent="0.15">
      <c r="A269" t="s">
        <v>297</v>
      </c>
      <c r="B269" t="s">
        <v>4516</v>
      </c>
      <c r="C269" t="s">
        <v>74</v>
      </c>
      <c r="D269" t="s">
        <v>4496</v>
      </c>
      <c r="E269" t="s">
        <v>74</v>
      </c>
      <c r="F269" t="s">
        <v>4517</v>
      </c>
      <c r="G269" t="s">
        <v>74</v>
      </c>
      <c r="H269" t="s">
        <v>74</v>
      </c>
      <c r="I269" t="s">
        <v>4518</v>
      </c>
      <c r="J269" t="s">
        <v>4499</v>
      </c>
      <c r="K269" t="s">
        <v>4500</v>
      </c>
      <c r="L269" t="s">
        <v>74</v>
      </c>
      <c r="M269" t="s">
        <v>77</v>
      </c>
      <c r="N269" t="s">
        <v>304</v>
      </c>
      <c r="O269" t="s">
        <v>4501</v>
      </c>
      <c r="P269" t="s">
        <v>4502</v>
      </c>
      <c r="Q269" t="s">
        <v>4503</v>
      </c>
      <c r="R269" t="s">
        <v>74</v>
      </c>
      <c r="S269" t="s">
        <v>74</v>
      </c>
      <c r="T269" t="s">
        <v>4519</v>
      </c>
      <c r="U269" t="s">
        <v>4520</v>
      </c>
      <c r="V269" t="s">
        <v>4521</v>
      </c>
      <c r="W269" t="s">
        <v>4522</v>
      </c>
      <c r="X269" t="s">
        <v>4523</v>
      </c>
      <c r="Y269" t="s">
        <v>4524</v>
      </c>
      <c r="Z269" t="s">
        <v>74</v>
      </c>
      <c r="AA269" t="s">
        <v>4525</v>
      </c>
      <c r="AB269" t="s">
        <v>4526</v>
      </c>
      <c r="AC269" t="s">
        <v>74</v>
      </c>
      <c r="AD269" t="s">
        <v>74</v>
      </c>
      <c r="AE269" t="s">
        <v>74</v>
      </c>
      <c r="AF269" t="s">
        <v>74</v>
      </c>
      <c r="AG269">
        <v>12</v>
      </c>
      <c r="AH269">
        <v>0</v>
      </c>
      <c r="AI269">
        <v>0</v>
      </c>
      <c r="AJ269">
        <v>0</v>
      </c>
      <c r="AK269">
        <v>1</v>
      </c>
      <c r="AL269" t="s">
        <v>318</v>
      </c>
      <c r="AM269" t="s">
        <v>319</v>
      </c>
      <c r="AN269" t="s">
        <v>320</v>
      </c>
      <c r="AO269" t="s">
        <v>321</v>
      </c>
      <c r="AP269" t="s">
        <v>74</v>
      </c>
      <c r="AQ269" t="s">
        <v>4508</v>
      </c>
      <c r="AR269" t="s">
        <v>4509</v>
      </c>
      <c r="AS269" t="s">
        <v>74</v>
      </c>
      <c r="AT269" t="s">
        <v>74</v>
      </c>
      <c r="AU269">
        <v>2006</v>
      </c>
      <c r="AV269">
        <v>6362</v>
      </c>
      <c r="AW269" t="s">
        <v>74</v>
      </c>
      <c r="AX269" t="s">
        <v>74</v>
      </c>
      <c r="AY269" t="s">
        <v>74</v>
      </c>
      <c r="AZ269" t="s">
        <v>74</v>
      </c>
      <c r="BA269" t="s">
        <v>74</v>
      </c>
      <c r="BB269" t="s">
        <v>4527</v>
      </c>
      <c r="BC269" t="s">
        <v>4528</v>
      </c>
      <c r="BD269" t="s">
        <v>74</v>
      </c>
      <c r="BE269" t="s">
        <v>4529</v>
      </c>
      <c r="BF269" t="str">
        <f>HYPERLINK("http://dx.doi.org/10.1117/12.688293","http://dx.doi.org/10.1117/12.688293")</f>
        <v>http://dx.doi.org/10.1117/12.688293</v>
      </c>
      <c r="BG269" t="s">
        <v>74</v>
      </c>
      <c r="BH269" t="s">
        <v>74</v>
      </c>
      <c r="BI269">
        <v>11</v>
      </c>
      <c r="BJ269" t="s">
        <v>4513</v>
      </c>
      <c r="BK269" t="s">
        <v>328</v>
      </c>
      <c r="BL269" t="s">
        <v>4513</v>
      </c>
      <c r="BM269" t="s">
        <v>4514</v>
      </c>
      <c r="BN269" t="s">
        <v>74</v>
      </c>
      <c r="BO269" t="s">
        <v>74</v>
      </c>
      <c r="BP269" t="s">
        <v>74</v>
      </c>
      <c r="BQ269" t="s">
        <v>74</v>
      </c>
      <c r="BR269" t="s">
        <v>101</v>
      </c>
      <c r="BS269" t="s">
        <v>4530</v>
      </c>
      <c r="BT269" t="str">
        <f>HYPERLINK("https%3A%2F%2Fwww.webofscience.com%2Fwos%2Fwoscc%2Ffull-record%2FWOS:000243894900058","View Full Record in Web of Science")</f>
        <v>View Full Record in Web of Science</v>
      </c>
    </row>
    <row r="270" spans="1:72" x14ac:dyDescent="0.15">
      <c r="A270" t="s">
        <v>297</v>
      </c>
      <c r="B270" t="s">
        <v>4531</v>
      </c>
      <c r="C270" t="s">
        <v>74</v>
      </c>
      <c r="D270" t="s">
        <v>4496</v>
      </c>
      <c r="E270" t="s">
        <v>74</v>
      </c>
      <c r="F270" t="s">
        <v>4532</v>
      </c>
      <c r="G270" t="s">
        <v>74</v>
      </c>
      <c r="H270" t="s">
        <v>74</v>
      </c>
      <c r="I270" t="s">
        <v>4533</v>
      </c>
      <c r="J270" t="s">
        <v>4534</v>
      </c>
      <c r="K270" t="s">
        <v>303</v>
      </c>
      <c r="L270" t="s">
        <v>74</v>
      </c>
      <c r="M270" t="s">
        <v>77</v>
      </c>
      <c r="N270" t="s">
        <v>304</v>
      </c>
      <c r="O270" t="s">
        <v>4501</v>
      </c>
      <c r="P270" t="s">
        <v>4502</v>
      </c>
      <c r="Q270" t="s">
        <v>4503</v>
      </c>
      <c r="R270" t="s">
        <v>74</v>
      </c>
      <c r="S270" t="s">
        <v>74</v>
      </c>
      <c r="T270" t="s">
        <v>4535</v>
      </c>
      <c r="U270" t="s">
        <v>4536</v>
      </c>
      <c r="V270" t="s">
        <v>4537</v>
      </c>
      <c r="W270" t="s">
        <v>4538</v>
      </c>
      <c r="X270" t="s">
        <v>4539</v>
      </c>
      <c r="Y270" t="s">
        <v>4540</v>
      </c>
      <c r="Z270" t="s">
        <v>74</v>
      </c>
      <c r="AA270" t="s">
        <v>4541</v>
      </c>
      <c r="AB270" t="s">
        <v>4542</v>
      </c>
      <c r="AC270" t="s">
        <v>4543</v>
      </c>
      <c r="AD270" t="s">
        <v>4544</v>
      </c>
      <c r="AE270" t="s">
        <v>4545</v>
      </c>
      <c r="AF270" t="s">
        <v>74</v>
      </c>
      <c r="AG270">
        <v>27</v>
      </c>
      <c r="AH270">
        <v>0</v>
      </c>
      <c r="AI270">
        <v>0</v>
      </c>
      <c r="AJ270">
        <v>1</v>
      </c>
      <c r="AK270">
        <v>3</v>
      </c>
      <c r="AL270" t="s">
        <v>318</v>
      </c>
      <c r="AM270" t="s">
        <v>319</v>
      </c>
      <c r="AN270" t="s">
        <v>320</v>
      </c>
      <c r="AO270" t="s">
        <v>321</v>
      </c>
      <c r="AP270" t="s">
        <v>322</v>
      </c>
      <c r="AQ270" t="s">
        <v>4508</v>
      </c>
      <c r="AR270" t="s">
        <v>324</v>
      </c>
      <c r="AS270" t="s">
        <v>74</v>
      </c>
      <c r="AT270" t="s">
        <v>74</v>
      </c>
      <c r="AU270">
        <v>2006</v>
      </c>
      <c r="AV270">
        <v>6362</v>
      </c>
      <c r="AW270" t="s">
        <v>74</v>
      </c>
      <c r="AX270" t="s">
        <v>74</v>
      </c>
      <c r="AY270" t="s">
        <v>74</v>
      </c>
      <c r="AZ270" t="s">
        <v>74</v>
      </c>
      <c r="BA270" t="s">
        <v>74</v>
      </c>
      <c r="BB270" t="s">
        <v>74</v>
      </c>
      <c r="BC270" t="s">
        <v>74</v>
      </c>
      <c r="BD270" t="s">
        <v>4546</v>
      </c>
      <c r="BE270" t="s">
        <v>4547</v>
      </c>
      <c r="BF270" t="str">
        <f>HYPERLINK("http://dx.doi.org/10.1117/12.689693","http://dx.doi.org/10.1117/12.689693")</f>
        <v>http://dx.doi.org/10.1117/12.689693</v>
      </c>
      <c r="BG270" t="s">
        <v>74</v>
      </c>
      <c r="BH270" t="s">
        <v>74</v>
      </c>
      <c r="BI270">
        <v>14</v>
      </c>
      <c r="BJ270" t="s">
        <v>4513</v>
      </c>
      <c r="BK270" t="s">
        <v>328</v>
      </c>
      <c r="BL270" t="s">
        <v>4513</v>
      </c>
      <c r="BM270" t="s">
        <v>4514</v>
      </c>
      <c r="BN270" t="s">
        <v>74</v>
      </c>
      <c r="BO270" t="s">
        <v>722</v>
      </c>
      <c r="BP270" t="s">
        <v>74</v>
      </c>
      <c r="BQ270" t="s">
        <v>74</v>
      </c>
      <c r="BR270" t="s">
        <v>101</v>
      </c>
      <c r="BS270" t="s">
        <v>4548</v>
      </c>
      <c r="BT270" t="str">
        <f>HYPERLINK("https%3A%2F%2Fwww.webofscience.com%2Fwos%2Fwoscc%2Ffull-record%2FWOS:000243894900019","View Full Record in Web of Science")</f>
        <v>View Full Record in Web of Science</v>
      </c>
    </row>
    <row r="271" spans="1:72" x14ac:dyDescent="0.15">
      <c r="A271" t="s">
        <v>297</v>
      </c>
      <c r="B271" t="s">
        <v>4549</v>
      </c>
      <c r="C271" t="s">
        <v>74</v>
      </c>
      <c r="D271" t="s">
        <v>4550</v>
      </c>
      <c r="E271" t="s">
        <v>74</v>
      </c>
      <c r="F271" t="s">
        <v>4551</v>
      </c>
      <c r="G271" t="s">
        <v>74</v>
      </c>
      <c r="H271" t="s">
        <v>74</v>
      </c>
      <c r="I271" t="s">
        <v>4552</v>
      </c>
      <c r="J271" t="s">
        <v>4553</v>
      </c>
      <c r="K271" t="s">
        <v>1419</v>
      </c>
      <c r="L271" t="s">
        <v>74</v>
      </c>
      <c r="M271" t="s">
        <v>77</v>
      </c>
      <c r="N271" t="s">
        <v>304</v>
      </c>
      <c r="O271" t="s">
        <v>1420</v>
      </c>
      <c r="P271" t="s">
        <v>1421</v>
      </c>
      <c r="Q271" t="s">
        <v>1422</v>
      </c>
      <c r="R271" t="s">
        <v>74</v>
      </c>
      <c r="S271" t="s">
        <v>74</v>
      </c>
      <c r="T271" t="s">
        <v>4554</v>
      </c>
      <c r="U271" t="s">
        <v>4555</v>
      </c>
      <c r="V271" t="s">
        <v>4556</v>
      </c>
      <c r="W271" t="s">
        <v>4557</v>
      </c>
      <c r="X271" t="s">
        <v>4558</v>
      </c>
      <c r="Y271" t="s">
        <v>4559</v>
      </c>
      <c r="Z271" t="s">
        <v>4560</v>
      </c>
      <c r="AA271" t="s">
        <v>74</v>
      </c>
      <c r="AB271" t="s">
        <v>74</v>
      </c>
      <c r="AC271" t="s">
        <v>74</v>
      </c>
      <c r="AD271" t="s">
        <v>74</v>
      </c>
      <c r="AE271" t="s">
        <v>74</v>
      </c>
      <c r="AF271" t="s">
        <v>74</v>
      </c>
      <c r="AG271">
        <v>14</v>
      </c>
      <c r="AH271">
        <v>0</v>
      </c>
      <c r="AI271">
        <v>0</v>
      </c>
      <c r="AJ271">
        <v>0</v>
      </c>
      <c r="AK271">
        <v>3</v>
      </c>
      <c r="AL271" t="s">
        <v>1434</v>
      </c>
      <c r="AM271" t="s">
        <v>140</v>
      </c>
      <c r="AN271" t="s">
        <v>1435</v>
      </c>
      <c r="AO271" t="s">
        <v>1436</v>
      </c>
      <c r="AP271" t="s">
        <v>74</v>
      </c>
      <c r="AQ271" t="s">
        <v>74</v>
      </c>
      <c r="AR271" t="s">
        <v>1437</v>
      </c>
      <c r="AS271" t="s">
        <v>74</v>
      </c>
      <c r="AT271" t="s">
        <v>74</v>
      </c>
      <c r="AU271">
        <v>2006</v>
      </c>
      <c r="AV271">
        <v>38</v>
      </c>
      <c r="AW271">
        <v>10</v>
      </c>
      <c r="AX271" t="s">
        <v>74</v>
      </c>
      <c r="AY271" t="s">
        <v>74</v>
      </c>
      <c r="AZ271" t="s">
        <v>74</v>
      </c>
      <c r="BA271" t="s">
        <v>74</v>
      </c>
      <c r="BB271">
        <v>2218</v>
      </c>
      <c r="BC271" t="s">
        <v>1059</v>
      </c>
      <c r="BD271" t="s">
        <v>74</v>
      </c>
      <c r="BE271" t="s">
        <v>4561</v>
      </c>
      <c r="BF271" t="str">
        <f>HYPERLINK("http://dx.doi.org/10.1016/j.asr.2006.07.003","http://dx.doi.org/10.1016/j.asr.2006.07.003")</f>
        <v>http://dx.doi.org/10.1016/j.asr.2006.07.003</v>
      </c>
      <c r="BG271" t="s">
        <v>74</v>
      </c>
      <c r="BH271" t="s">
        <v>74</v>
      </c>
      <c r="BI271">
        <v>2</v>
      </c>
      <c r="BJ271" t="s">
        <v>4562</v>
      </c>
      <c r="BK271" t="s">
        <v>328</v>
      </c>
      <c r="BL271" t="s">
        <v>4563</v>
      </c>
      <c r="BM271" t="s">
        <v>4564</v>
      </c>
      <c r="BN271" t="s">
        <v>74</v>
      </c>
      <c r="BO271" t="s">
        <v>74</v>
      </c>
      <c r="BP271" t="s">
        <v>74</v>
      </c>
      <c r="BQ271" t="s">
        <v>74</v>
      </c>
      <c r="BR271" t="s">
        <v>101</v>
      </c>
      <c r="BS271" t="s">
        <v>4565</v>
      </c>
      <c r="BT271" t="str">
        <f>HYPERLINK("https%3A%2F%2Fwww.webofscience.com%2Fwos%2Fwoscc%2Ffull-record%2FWOS:000245035500011","View Full Record in Web of Science")</f>
        <v>View Full Record in Web of Science</v>
      </c>
    </row>
    <row r="272" spans="1:72" x14ac:dyDescent="0.15">
      <c r="A272" t="s">
        <v>72</v>
      </c>
      <c r="B272" t="s">
        <v>4566</v>
      </c>
      <c r="C272" t="s">
        <v>74</v>
      </c>
      <c r="D272" t="s">
        <v>74</v>
      </c>
      <c r="E272" t="s">
        <v>74</v>
      </c>
      <c r="F272" t="s">
        <v>4567</v>
      </c>
      <c r="G272" t="s">
        <v>74</v>
      </c>
      <c r="H272" t="s">
        <v>74</v>
      </c>
      <c r="I272" t="s">
        <v>4568</v>
      </c>
      <c r="J272" t="s">
        <v>4569</v>
      </c>
      <c r="K272" t="s">
        <v>74</v>
      </c>
      <c r="L272" t="s">
        <v>74</v>
      </c>
      <c r="M272" t="s">
        <v>1333</v>
      </c>
      <c r="N272" t="s">
        <v>4570</v>
      </c>
      <c r="O272" t="s">
        <v>74</v>
      </c>
      <c r="P272" t="s">
        <v>74</v>
      </c>
      <c r="Q272" t="s">
        <v>74</v>
      </c>
      <c r="R272" t="s">
        <v>74</v>
      </c>
      <c r="S272" t="s">
        <v>74</v>
      </c>
      <c r="T272" t="s">
        <v>74</v>
      </c>
      <c r="U272" t="s">
        <v>74</v>
      </c>
      <c r="V272" t="s">
        <v>74</v>
      </c>
      <c r="W272" t="s">
        <v>4571</v>
      </c>
      <c r="X272" t="s">
        <v>4572</v>
      </c>
      <c r="Y272" t="s">
        <v>4573</v>
      </c>
      <c r="Z272" t="s">
        <v>74</v>
      </c>
      <c r="AA272" t="s">
        <v>74</v>
      </c>
      <c r="AB272" t="s">
        <v>74</v>
      </c>
      <c r="AC272" t="s">
        <v>74</v>
      </c>
      <c r="AD272" t="s">
        <v>74</v>
      </c>
      <c r="AE272" t="s">
        <v>74</v>
      </c>
      <c r="AF272" t="s">
        <v>74</v>
      </c>
      <c r="AG272">
        <v>1</v>
      </c>
      <c r="AH272">
        <v>0</v>
      </c>
      <c r="AI272">
        <v>0</v>
      </c>
      <c r="AJ272">
        <v>0</v>
      </c>
      <c r="AK272">
        <v>0</v>
      </c>
      <c r="AL272" t="s">
        <v>1341</v>
      </c>
      <c r="AM272" t="s">
        <v>1342</v>
      </c>
      <c r="AN272" t="s">
        <v>1343</v>
      </c>
      <c r="AO272" t="s">
        <v>4574</v>
      </c>
      <c r="AP272" t="s">
        <v>4575</v>
      </c>
      <c r="AQ272" t="s">
        <v>74</v>
      </c>
      <c r="AR272" t="s">
        <v>4576</v>
      </c>
      <c r="AS272" t="s">
        <v>4577</v>
      </c>
      <c r="AT272" t="s">
        <v>74</v>
      </c>
      <c r="AU272">
        <v>2006</v>
      </c>
      <c r="AV272">
        <v>32</v>
      </c>
      <c r="AW272" t="s">
        <v>74</v>
      </c>
      <c r="AX272" t="s">
        <v>74</v>
      </c>
      <c r="AY272" t="s">
        <v>74</v>
      </c>
      <c r="AZ272" t="s">
        <v>74</v>
      </c>
      <c r="BA272" t="s">
        <v>74</v>
      </c>
      <c r="BB272">
        <v>287</v>
      </c>
      <c r="BC272">
        <v>291</v>
      </c>
      <c r="BD272" t="s">
        <v>74</v>
      </c>
      <c r="BE272" t="s">
        <v>74</v>
      </c>
      <c r="BF272" t="s">
        <v>74</v>
      </c>
      <c r="BG272" t="s">
        <v>74</v>
      </c>
      <c r="BH272" t="s">
        <v>74</v>
      </c>
      <c r="BI272">
        <v>6</v>
      </c>
      <c r="BJ272" t="s">
        <v>4578</v>
      </c>
      <c r="BK272" t="s">
        <v>1219</v>
      </c>
      <c r="BL272" t="s">
        <v>4578</v>
      </c>
      <c r="BM272" t="s">
        <v>4579</v>
      </c>
      <c r="BN272" t="s">
        <v>74</v>
      </c>
      <c r="BO272" t="s">
        <v>74</v>
      </c>
      <c r="BP272" t="s">
        <v>74</v>
      </c>
      <c r="BQ272" t="s">
        <v>74</v>
      </c>
      <c r="BR272" t="s">
        <v>101</v>
      </c>
      <c r="BS272" t="s">
        <v>4580</v>
      </c>
      <c r="BT272" t="str">
        <f>HYPERLINK("https%3A%2F%2Fwww.webofscience.com%2Fwos%2Fwoscc%2Ffull-record%2FWOS:000215389000016","View Full Record in Web of Science")</f>
        <v>View Full Record in Web of Science</v>
      </c>
    </row>
    <row r="273" spans="1:72" x14ac:dyDescent="0.15">
      <c r="A273" t="s">
        <v>72</v>
      </c>
      <c r="B273" t="s">
        <v>4581</v>
      </c>
      <c r="C273" t="s">
        <v>74</v>
      </c>
      <c r="D273" t="s">
        <v>74</v>
      </c>
      <c r="E273" t="s">
        <v>74</v>
      </c>
      <c r="F273" t="s">
        <v>4582</v>
      </c>
      <c r="G273" t="s">
        <v>74</v>
      </c>
      <c r="H273" t="s">
        <v>74</v>
      </c>
      <c r="I273" t="s">
        <v>4583</v>
      </c>
      <c r="J273" t="s">
        <v>4584</v>
      </c>
      <c r="K273" t="s">
        <v>74</v>
      </c>
      <c r="L273" t="s">
        <v>74</v>
      </c>
      <c r="M273" t="s">
        <v>77</v>
      </c>
      <c r="N273" t="s">
        <v>78</v>
      </c>
      <c r="O273" t="s">
        <v>74</v>
      </c>
      <c r="P273" t="s">
        <v>74</v>
      </c>
      <c r="Q273" t="s">
        <v>74</v>
      </c>
      <c r="R273" t="s">
        <v>74</v>
      </c>
      <c r="S273" t="s">
        <v>74</v>
      </c>
      <c r="T273" t="s">
        <v>4585</v>
      </c>
      <c r="U273" t="s">
        <v>4586</v>
      </c>
      <c r="V273" t="s">
        <v>4587</v>
      </c>
      <c r="W273" t="s">
        <v>4588</v>
      </c>
      <c r="X273" t="s">
        <v>4589</v>
      </c>
      <c r="Y273" t="s">
        <v>4590</v>
      </c>
      <c r="Z273" t="s">
        <v>74</v>
      </c>
      <c r="AA273" t="s">
        <v>74</v>
      </c>
      <c r="AB273" t="s">
        <v>4591</v>
      </c>
      <c r="AC273" t="s">
        <v>74</v>
      </c>
      <c r="AD273" t="s">
        <v>74</v>
      </c>
      <c r="AE273" t="s">
        <v>74</v>
      </c>
      <c r="AF273" t="s">
        <v>74</v>
      </c>
      <c r="AG273">
        <v>16</v>
      </c>
      <c r="AH273">
        <v>3</v>
      </c>
      <c r="AI273">
        <v>6</v>
      </c>
      <c r="AJ273">
        <v>0</v>
      </c>
      <c r="AK273">
        <v>2</v>
      </c>
      <c r="AL273" t="s">
        <v>4592</v>
      </c>
      <c r="AM273" t="s">
        <v>4593</v>
      </c>
      <c r="AN273" t="s">
        <v>4594</v>
      </c>
      <c r="AO273" t="s">
        <v>4595</v>
      </c>
      <c r="AP273" t="s">
        <v>74</v>
      </c>
      <c r="AQ273" t="s">
        <v>74</v>
      </c>
      <c r="AR273" t="s">
        <v>4596</v>
      </c>
      <c r="AS273" t="s">
        <v>4597</v>
      </c>
      <c r="AT273" t="s">
        <v>74</v>
      </c>
      <c r="AU273">
        <v>2006</v>
      </c>
      <c r="AV273">
        <v>14</v>
      </c>
      <c r="AW273">
        <v>1</v>
      </c>
      <c r="AX273" t="s">
        <v>74</v>
      </c>
      <c r="AY273" t="s">
        <v>74</v>
      </c>
      <c r="AZ273" t="s">
        <v>74</v>
      </c>
      <c r="BA273" t="s">
        <v>74</v>
      </c>
      <c r="BB273">
        <v>51</v>
      </c>
      <c r="BC273">
        <v>56</v>
      </c>
      <c r="BD273" t="s">
        <v>74</v>
      </c>
      <c r="BE273" t="s">
        <v>74</v>
      </c>
      <c r="BF273" t="s">
        <v>74</v>
      </c>
      <c r="BG273" t="s">
        <v>74</v>
      </c>
      <c r="BH273" t="s">
        <v>74</v>
      </c>
      <c r="BI273">
        <v>6</v>
      </c>
      <c r="BJ273" t="s">
        <v>532</v>
      </c>
      <c r="BK273" t="s">
        <v>98</v>
      </c>
      <c r="BL273" t="s">
        <v>532</v>
      </c>
      <c r="BM273" t="s">
        <v>4598</v>
      </c>
      <c r="BN273" t="s">
        <v>74</v>
      </c>
      <c r="BO273" t="s">
        <v>74</v>
      </c>
      <c r="BP273" t="s">
        <v>74</v>
      </c>
      <c r="BQ273" t="s">
        <v>74</v>
      </c>
      <c r="BR273" t="s">
        <v>101</v>
      </c>
      <c r="BS273" t="s">
        <v>4599</v>
      </c>
      <c r="BT273" t="str">
        <f>HYPERLINK("https%3A%2F%2Fwww.webofscience.com%2Fwos%2Fwoscc%2Ffull-record%2FWOS:000238900500006","View Full Record in Web of Science")</f>
        <v>View Full Record in Web of Science</v>
      </c>
    </row>
    <row r="274" spans="1:72" x14ac:dyDescent="0.15">
      <c r="A274" t="s">
        <v>72</v>
      </c>
      <c r="B274" t="s">
        <v>4600</v>
      </c>
      <c r="C274" t="s">
        <v>74</v>
      </c>
      <c r="D274" t="s">
        <v>74</v>
      </c>
      <c r="E274" t="s">
        <v>74</v>
      </c>
      <c r="F274" t="s">
        <v>4601</v>
      </c>
      <c r="G274" t="s">
        <v>74</v>
      </c>
      <c r="H274" t="s">
        <v>74</v>
      </c>
      <c r="I274" t="s">
        <v>4602</v>
      </c>
      <c r="J274" t="s">
        <v>4603</v>
      </c>
      <c r="K274" t="s">
        <v>74</v>
      </c>
      <c r="L274" t="s">
        <v>74</v>
      </c>
      <c r="M274" t="s">
        <v>77</v>
      </c>
      <c r="N274" t="s">
        <v>4570</v>
      </c>
      <c r="O274" t="s">
        <v>74</v>
      </c>
      <c r="P274" t="s">
        <v>74</v>
      </c>
      <c r="Q274" t="s">
        <v>74</v>
      </c>
      <c r="R274" t="s">
        <v>74</v>
      </c>
      <c r="S274" t="s">
        <v>74</v>
      </c>
      <c r="T274" t="s">
        <v>74</v>
      </c>
      <c r="U274" t="s">
        <v>74</v>
      </c>
      <c r="V274" t="s">
        <v>74</v>
      </c>
      <c r="W274" t="s">
        <v>4604</v>
      </c>
      <c r="X274" t="s">
        <v>4605</v>
      </c>
      <c r="Y274" t="s">
        <v>4606</v>
      </c>
      <c r="Z274" t="s">
        <v>4607</v>
      </c>
      <c r="AA274" t="s">
        <v>74</v>
      </c>
      <c r="AB274" t="s">
        <v>74</v>
      </c>
      <c r="AC274" t="s">
        <v>74</v>
      </c>
      <c r="AD274" t="s">
        <v>74</v>
      </c>
      <c r="AE274" t="s">
        <v>74</v>
      </c>
      <c r="AF274" t="s">
        <v>74</v>
      </c>
      <c r="AG274">
        <v>1</v>
      </c>
      <c r="AH274">
        <v>0</v>
      </c>
      <c r="AI274">
        <v>0</v>
      </c>
      <c r="AJ274">
        <v>0</v>
      </c>
      <c r="AK274">
        <v>0</v>
      </c>
      <c r="AL274" t="s">
        <v>4608</v>
      </c>
      <c r="AM274" t="s">
        <v>349</v>
      </c>
      <c r="AN274" t="s">
        <v>4609</v>
      </c>
      <c r="AO274" t="s">
        <v>4610</v>
      </c>
      <c r="AP274" t="s">
        <v>4611</v>
      </c>
      <c r="AQ274" t="s">
        <v>74</v>
      </c>
      <c r="AR274" t="s">
        <v>4612</v>
      </c>
      <c r="AS274" t="s">
        <v>4613</v>
      </c>
      <c r="AT274" t="s">
        <v>74</v>
      </c>
      <c r="AU274">
        <v>2006</v>
      </c>
      <c r="AV274">
        <v>31</v>
      </c>
      <c r="AW274" t="s">
        <v>530</v>
      </c>
      <c r="AX274" t="s">
        <v>74</v>
      </c>
      <c r="AY274" t="s">
        <v>74</v>
      </c>
      <c r="AZ274" t="s">
        <v>74</v>
      </c>
      <c r="BA274" t="s">
        <v>74</v>
      </c>
      <c r="BB274">
        <v>343</v>
      </c>
      <c r="BC274">
        <v>345</v>
      </c>
      <c r="BD274" t="s">
        <v>74</v>
      </c>
      <c r="BE274" t="s">
        <v>74</v>
      </c>
      <c r="BF274" t="s">
        <v>74</v>
      </c>
      <c r="BG274" t="s">
        <v>74</v>
      </c>
      <c r="BH274" t="s">
        <v>74</v>
      </c>
      <c r="BI274">
        <v>3</v>
      </c>
      <c r="BJ274" t="s">
        <v>4578</v>
      </c>
      <c r="BK274" t="s">
        <v>4614</v>
      </c>
      <c r="BL274" t="s">
        <v>4578</v>
      </c>
      <c r="BM274" t="s">
        <v>4615</v>
      </c>
      <c r="BN274" t="s">
        <v>74</v>
      </c>
      <c r="BO274" t="s">
        <v>74</v>
      </c>
      <c r="BP274" t="s">
        <v>74</v>
      </c>
      <c r="BQ274" t="s">
        <v>74</v>
      </c>
      <c r="BR274" t="s">
        <v>101</v>
      </c>
      <c r="BS274" t="s">
        <v>4616</v>
      </c>
      <c r="BT274" t="str">
        <f>HYPERLINK("https%3A%2F%2Fwww.webofscience.com%2Fwos%2Fwoscc%2Ffull-record%2FWOS:000243246300015","View Full Record in Web of Science")</f>
        <v>View Full Record in Web of Science</v>
      </c>
    </row>
    <row r="275" spans="1:72" x14ac:dyDescent="0.15">
      <c r="A275" t="s">
        <v>297</v>
      </c>
      <c r="B275" t="s">
        <v>4617</v>
      </c>
      <c r="C275" t="s">
        <v>74</v>
      </c>
      <c r="D275" t="s">
        <v>4618</v>
      </c>
      <c r="E275" t="s">
        <v>74</v>
      </c>
      <c r="F275" t="s">
        <v>4619</v>
      </c>
      <c r="G275" t="s">
        <v>74</v>
      </c>
      <c r="H275" t="s">
        <v>74</v>
      </c>
      <c r="I275" t="s">
        <v>4620</v>
      </c>
      <c r="J275" t="s">
        <v>4621</v>
      </c>
      <c r="K275" t="s">
        <v>4622</v>
      </c>
      <c r="L275" t="s">
        <v>74</v>
      </c>
      <c r="M275" t="s">
        <v>77</v>
      </c>
      <c r="N275" t="s">
        <v>304</v>
      </c>
      <c r="O275" t="s">
        <v>4623</v>
      </c>
      <c r="P275" t="s">
        <v>4624</v>
      </c>
      <c r="Q275" t="s">
        <v>4625</v>
      </c>
      <c r="R275" t="s">
        <v>74</v>
      </c>
      <c r="S275" t="s">
        <v>74</v>
      </c>
      <c r="T275" t="s">
        <v>4626</v>
      </c>
      <c r="U275" t="s">
        <v>1646</v>
      </c>
      <c r="V275" t="s">
        <v>4627</v>
      </c>
      <c r="W275" t="s">
        <v>4628</v>
      </c>
      <c r="X275" t="s">
        <v>4629</v>
      </c>
      <c r="Y275" t="s">
        <v>1650</v>
      </c>
      <c r="Z275" t="s">
        <v>4630</v>
      </c>
      <c r="AA275" t="s">
        <v>1652</v>
      </c>
      <c r="AB275" t="s">
        <v>74</v>
      </c>
      <c r="AC275" t="s">
        <v>74</v>
      </c>
      <c r="AD275" t="s">
        <v>74</v>
      </c>
      <c r="AE275" t="s">
        <v>74</v>
      </c>
      <c r="AF275" t="s">
        <v>74</v>
      </c>
      <c r="AG275">
        <v>6</v>
      </c>
      <c r="AH275">
        <v>2</v>
      </c>
      <c r="AI275">
        <v>2</v>
      </c>
      <c r="AJ275">
        <v>0</v>
      </c>
      <c r="AK275">
        <v>0</v>
      </c>
      <c r="AL275" t="s">
        <v>88</v>
      </c>
      <c r="AM275" t="s">
        <v>162</v>
      </c>
      <c r="AN275" t="s">
        <v>1261</v>
      </c>
      <c r="AO275" t="s">
        <v>4631</v>
      </c>
      <c r="AP275" t="s">
        <v>74</v>
      </c>
      <c r="AQ275" t="s">
        <v>4632</v>
      </c>
      <c r="AR275" t="s">
        <v>4633</v>
      </c>
      <c r="AS275" t="s">
        <v>74</v>
      </c>
      <c r="AT275" t="s">
        <v>74</v>
      </c>
      <c r="AU275">
        <v>2006</v>
      </c>
      <c r="AV275">
        <v>336</v>
      </c>
      <c r="AW275" t="s">
        <v>74</v>
      </c>
      <c r="AX275" t="s">
        <v>74</v>
      </c>
      <c r="AY275" t="s">
        <v>74</v>
      </c>
      <c r="AZ275" t="s">
        <v>74</v>
      </c>
      <c r="BA275" t="s">
        <v>74</v>
      </c>
      <c r="BB275">
        <v>673</v>
      </c>
      <c r="BC275" t="s">
        <v>1059</v>
      </c>
      <c r="BD275" t="s">
        <v>74</v>
      </c>
      <c r="BE275" t="s">
        <v>4634</v>
      </c>
      <c r="BF275" t="str">
        <f>HYPERLINK("http://dx.doi.org/10.1007/1-4020-4330-9_82","http://dx.doi.org/10.1007/1-4020-4330-9_82")</f>
        <v>http://dx.doi.org/10.1007/1-4020-4330-9_82</v>
      </c>
      <c r="BG275" t="s">
        <v>74</v>
      </c>
      <c r="BH275" t="s">
        <v>74</v>
      </c>
      <c r="BI275">
        <v>2</v>
      </c>
      <c r="BJ275" t="s">
        <v>1695</v>
      </c>
      <c r="BK275" t="s">
        <v>328</v>
      </c>
      <c r="BL275" t="s">
        <v>1695</v>
      </c>
      <c r="BM275" t="s">
        <v>4635</v>
      </c>
      <c r="BN275" t="s">
        <v>74</v>
      </c>
      <c r="BO275" t="s">
        <v>74</v>
      </c>
      <c r="BP275" t="s">
        <v>74</v>
      </c>
      <c r="BQ275" t="s">
        <v>74</v>
      </c>
      <c r="BR275" t="s">
        <v>101</v>
      </c>
      <c r="BS275" t="s">
        <v>4636</v>
      </c>
      <c r="BT275" t="str">
        <f>HYPERLINK("https%3A%2F%2Fwww.webofscience.com%2Fwos%2Fwoscc%2Ffull-record%2FWOS:000237613100082","View Full Record in Web of Science")</f>
        <v>View Full Record in Web of Science</v>
      </c>
    </row>
    <row r="276" spans="1:72" x14ac:dyDescent="0.15">
      <c r="A276" t="s">
        <v>297</v>
      </c>
      <c r="B276" t="s">
        <v>4637</v>
      </c>
      <c r="C276" t="s">
        <v>74</v>
      </c>
      <c r="D276" t="s">
        <v>4638</v>
      </c>
      <c r="E276" t="s">
        <v>74</v>
      </c>
      <c r="F276" t="s">
        <v>4639</v>
      </c>
      <c r="G276" t="s">
        <v>74</v>
      </c>
      <c r="H276" t="s">
        <v>74</v>
      </c>
      <c r="I276" t="s">
        <v>4640</v>
      </c>
      <c r="J276" t="s">
        <v>4641</v>
      </c>
      <c r="K276" t="s">
        <v>4642</v>
      </c>
      <c r="L276" t="s">
        <v>74</v>
      </c>
      <c r="M276" t="s">
        <v>77</v>
      </c>
      <c r="N276" t="s">
        <v>304</v>
      </c>
      <c r="O276" t="s">
        <v>4643</v>
      </c>
      <c r="P276" t="s">
        <v>4644</v>
      </c>
      <c r="Q276" t="s">
        <v>4645</v>
      </c>
      <c r="R276" t="s">
        <v>74</v>
      </c>
      <c r="S276" t="s">
        <v>74</v>
      </c>
      <c r="T276" t="s">
        <v>74</v>
      </c>
      <c r="U276" t="s">
        <v>4646</v>
      </c>
      <c r="V276" t="s">
        <v>4647</v>
      </c>
      <c r="W276" t="s">
        <v>4648</v>
      </c>
      <c r="X276" t="s">
        <v>4649</v>
      </c>
      <c r="Y276" t="s">
        <v>4650</v>
      </c>
      <c r="Z276" t="s">
        <v>4651</v>
      </c>
      <c r="AA276" t="s">
        <v>74</v>
      </c>
      <c r="AB276" t="s">
        <v>74</v>
      </c>
      <c r="AC276" t="s">
        <v>4652</v>
      </c>
      <c r="AD276" t="s">
        <v>4653</v>
      </c>
      <c r="AE276" t="s">
        <v>4654</v>
      </c>
      <c r="AF276" t="s">
        <v>74</v>
      </c>
      <c r="AG276">
        <v>58</v>
      </c>
      <c r="AH276">
        <v>4</v>
      </c>
      <c r="AI276">
        <v>6</v>
      </c>
      <c r="AJ276">
        <v>0</v>
      </c>
      <c r="AK276">
        <v>6</v>
      </c>
      <c r="AL276" t="s">
        <v>4655</v>
      </c>
      <c r="AM276" t="s">
        <v>4656</v>
      </c>
      <c r="AN276" t="s">
        <v>4657</v>
      </c>
      <c r="AO276" t="s">
        <v>74</v>
      </c>
      <c r="AP276" t="s">
        <v>74</v>
      </c>
      <c r="AQ276" t="s">
        <v>4658</v>
      </c>
      <c r="AR276" t="s">
        <v>4659</v>
      </c>
      <c r="AS276" t="s">
        <v>74</v>
      </c>
      <c r="AT276" t="s">
        <v>74</v>
      </c>
      <c r="AU276">
        <v>2006</v>
      </c>
      <c r="AV276" t="s">
        <v>74</v>
      </c>
      <c r="AW276" t="s">
        <v>74</v>
      </c>
      <c r="AX276" t="s">
        <v>74</v>
      </c>
      <c r="AY276" t="s">
        <v>74</v>
      </c>
      <c r="AZ276" t="s">
        <v>74</v>
      </c>
      <c r="BA276" t="s">
        <v>74</v>
      </c>
      <c r="BB276">
        <v>13</v>
      </c>
      <c r="BC276">
        <v>29</v>
      </c>
      <c r="BD276" t="s">
        <v>74</v>
      </c>
      <c r="BE276" t="s">
        <v>74</v>
      </c>
      <c r="BF276" t="s">
        <v>74</v>
      </c>
      <c r="BG276" t="s">
        <v>74</v>
      </c>
      <c r="BH276" t="s">
        <v>74</v>
      </c>
      <c r="BI276">
        <v>17</v>
      </c>
      <c r="BJ276" t="s">
        <v>4660</v>
      </c>
      <c r="BK276" t="s">
        <v>328</v>
      </c>
      <c r="BL276" t="s">
        <v>4661</v>
      </c>
      <c r="BM276" t="s">
        <v>4662</v>
      </c>
      <c r="BN276" t="s">
        <v>74</v>
      </c>
      <c r="BO276" t="s">
        <v>74</v>
      </c>
      <c r="BP276" t="s">
        <v>74</v>
      </c>
      <c r="BQ276" t="s">
        <v>74</v>
      </c>
      <c r="BR276" t="s">
        <v>101</v>
      </c>
      <c r="BS276" t="s">
        <v>4663</v>
      </c>
      <c r="BT276" t="str">
        <f>HYPERLINK("https%3A%2F%2Fwww.webofscience.com%2Fwos%2Fwoscc%2Ffull-record%2FWOS:000239346700002","View Full Record in Web of Science")</f>
        <v>View Full Record in Web of Science</v>
      </c>
    </row>
    <row r="277" spans="1:72" x14ac:dyDescent="0.15">
      <c r="A277" t="s">
        <v>297</v>
      </c>
      <c r="B277" t="s">
        <v>4664</v>
      </c>
      <c r="C277" t="s">
        <v>74</v>
      </c>
      <c r="D277" t="s">
        <v>4638</v>
      </c>
      <c r="E277" t="s">
        <v>74</v>
      </c>
      <c r="F277" t="s">
        <v>4665</v>
      </c>
      <c r="G277" t="s">
        <v>74</v>
      </c>
      <c r="H277" t="s">
        <v>74</v>
      </c>
      <c r="I277" t="s">
        <v>4666</v>
      </c>
      <c r="J277" t="s">
        <v>4641</v>
      </c>
      <c r="K277" t="s">
        <v>4642</v>
      </c>
      <c r="L277" t="s">
        <v>74</v>
      </c>
      <c r="M277" t="s">
        <v>77</v>
      </c>
      <c r="N277" t="s">
        <v>304</v>
      </c>
      <c r="O277" t="s">
        <v>4643</v>
      </c>
      <c r="P277" t="s">
        <v>4644</v>
      </c>
      <c r="Q277" t="s">
        <v>4645</v>
      </c>
      <c r="R277" t="s">
        <v>74</v>
      </c>
      <c r="S277" t="s">
        <v>74</v>
      </c>
      <c r="T277" t="s">
        <v>74</v>
      </c>
      <c r="U277" t="s">
        <v>4667</v>
      </c>
      <c r="V277" t="s">
        <v>4668</v>
      </c>
      <c r="W277" t="s">
        <v>4669</v>
      </c>
      <c r="X277" t="s">
        <v>274</v>
      </c>
      <c r="Y277" t="s">
        <v>4670</v>
      </c>
      <c r="Z277" t="s">
        <v>4671</v>
      </c>
      <c r="AA277" t="s">
        <v>4672</v>
      </c>
      <c r="AB277" t="s">
        <v>4673</v>
      </c>
      <c r="AC277" t="s">
        <v>74</v>
      </c>
      <c r="AD277" t="s">
        <v>74</v>
      </c>
      <c r="AE277" t="s">
        <v>74</v>
      </c>
      <c r="AF277" t="s">
        <v>74</v>
      </c>
      <c r="AG277">
        <v>59</v>
      </c>
      <c r="AH277">
        <v>20</v>
      </c>
      <c r="AI277">
        <v>21</v>
      </c>
      <c r="AJ277">
        <v>0</v>
      </c>
      <c r="AK277">
        <v>28</v>
      </c>
      <c r="AL277" t="s">
        <v>4655</v>
      </c>
      <c r="AM277" t="s">
        <v>4656</v>
      </c>
      <c r="AN277" t="s">
        <v>4657</v>
      </c>
      <c r="AO277" t="s">
        <v>74</v>
      </c>
      <c r="AP277" t="s">
        <v>74</v>
      </c>
      <c r="AQ277" t="s">
        <v>4658</v>
      </c>
      <c r="AR277" t="s">
        <v>4659</v>
      </c>
      <c r="AS277" t="s">
        <v>74</v>
      </c>
      <c r="AT277" t="s">
        <v>74</v>
      </c>
      <c r="AU277">
        <v>2006</v>
      </c>
      <c r="AV277" t="s">
        <v>74</v>
      </c>
      <c r="AW277" t="s">
        <v>74</v>
      </c>
      <c r="AX277" t="s">
        <v>74</v>
      </c>
      <c r="AY277" t="s">
        <v>74</v>
      </c>
      <c r="AZ277" t="s">
        <v>74</v>
      </c>
      <c r="BA277" t="s">
        <v>74</v>
      </c>
      <c r="BB277">
        <v>455</v>
      </c>
      <c r="BC277">
        <v>469</v>
      </c>
      <c r="BD277" t="s">
        <v>74</v>
      </c>
      <c r="BE277" t="s">
        <v>74</v>
      </c>
      <c r="BF277" t="s">
        <v>74</v>
      </c>
      <c r="BG277" t="s">
        <v>74</v>
      </c>
      <c r="BH277" t="s">
        <v>74</v>
      </c>
      <c r="BI277">
        <v>15</v>
      </c>
      <c r="BJ277" t="s">
        <v>4660</v>
      </c>
      <c r="BK277" t="s">
        <v>328</v>
      </c>
      <c r="BL277" t="s">
        <v>4661</v>
      </c>
      <c r="BM277" t="s">
        <v>4662</v>
      </c>
      <c r="BN277" t="s">
        <v>74</v>
      </c>
      <c r="BO277" t="s">
        <v>74</v>
      </c>
      <c r="BP277" t="s">
        <v>74</v>
      </c>
      <c r="BQ277" t="s">
        <v>74</v>
      </c>
      <c r="BR277" t="s">
        <v>101</v>
      </c>
      <c r="BS277" t="s">
        <v>4674</v>
      </c>
      <c r="BT277" t="str">
        <f>HYPERLINK("https%3A%2F%2Fwww.webofscience.com%2Fwos%2Fwoscc%2Ffull-record%2FWOS:000239346700029","View Full Record in Web of Science")</f>
        <v>View Full Record in Web of Science</v>
      </c>
    </row>
    <row r="278" spans="1:72" x14ac:dyDescent="0.15">
      <c r="A278" t="s">
        <v>72</v>
      </c>
      <c r="B278" t="s">
        <v>4675</v>
      </c>
      <c r="C278" t="s">
        <v>74</v>
      </c>
      <c r="D278" t="s">
        <v>74</v>
      </c>
      <c r="E278" t="s">
        <v>74</v>
      </c>
      <c r="F278" t="s">
        <v>4675</v>
      </c>
      <c r="G278" t="s">
        <v>74</v>
      </c>
      <c r="H278" t="s">
        <v>74</v>
      </c>
      <c r="I278" t="s">
        <v>4676</v>
      </c>
      <c r="J278" t="s">
        <v>4677</v>
      </c>
      <c r="K278" t="s">
        <v>74</v>
      </c>
      <c r="L278" t="s">
        <v>74</v>
      </c>
      <c r="M278" t="s">
        <v>77</v>
      </c>
      <c r="N278" t="s">
        <v>78</v>
      </c>
      <c r="O278" t="s">
        <v>74</v>
      </c>
      <c r="P278" t="s">
        <v>74</v>
      </c>
      <c r="Q278" t="s">
        <v>74</v>
      </c>
      <c r="R278" t="s">
        <v>74</v>
      </c>
      <c r="S278" t="s">
        <v>74</v>
      </c>
      <c r="T278" t="s">
        <v>4678</v>
      </c>
      <c r="U278" t="s">
        <v>4679</v>
      </c>
      <c r="V278" t="s">
        <v>4680</v>
      </c>
      <c r="W278" t="s">
        <v>4681</v>
      </c>
      <c r="X278" t="s">
        <v>4682</v>
      </c>
      <c r="Y278" t="s">
        <v>4683</v>
      </c>
      <c r="Z278" t="s">
        <v>4684</v>
      </c>
      <c r="AA278" t="s">
        <v>74</v>
      </c>
      <c r="AB278" t="s">
        <v>4685</v>
      </c>
      <c r="AC278" t="s">
        <v>74</v>
      </c>
      <c r="AD278" t="s">
        <v>74</v>
      </c>
      <c r="AE278" t="s">
        <v>74</v>
      </c>
      <c r="AF278" t="s">
        <v>74</v>
      </c>
      <c r="AG278">
        <v>99</v>
      </c>
      <c r="AH278">
        <v>68</v>
      </c>
      <c r="AI278">
        <v>82</v>
      </c>
      <c r="AJ278">
        <v>0</v>
      </c>
      <c r="AK278">
        <v>6</v>
      </c>
      <c r="AL278" t="s">
        <v>1147</v>
      </c>
      <c r="AM278" t="s">
        <v>1148</v>
      </c>
      <c r="AN278" t="s">
        <v>1149</v>
      </c>
      <c r="AO278" t="s">
        <v>4686</v>
      </c>
      <c r="AP278" t="s">
        <v>74</v>
      </c>
      <c r="AQ278" t="s">
        <v>74</v>
      </c>
      <c r="AR278" t="s">
        <v>4687</v>
      </c>
      <c r="AS278" t="s">
        <v>4688</v>
      </c>
      <c r="AT278" t="s">
        <v>1485</v>
      </c>
      <c r="AU278">
        <v>2006</v>
      </c>
      <c r="AV278">
        <v>183</v>
      </c>
      <c r="AW278" t="s">
        <v>485</v>
      </c>
      <c r="AX278" t="s">
        <v>74</v>
      </c>
      <c r="AY278" t="s">
        <v>74</v>
      </c>
      <c r="AZ278" t="s">
        <v>74</v>
      </c>
      <c r="BA278" t="s">
        <v>74</v>
      </c>
      <c r="BB278">
        <v>71</v>
      </c>
      <c r="BC278">
        <v>97</v>
      </c>
      <c r="BD278" t="s">
        <v>74</v>
      </c>
      <c r="BE278" t="s">
        <v>4689</v>
      </c>
      <c r="BF278" t="str">
        <f>HYPERLINK("http://dx.doi.org/10.1016/j.sedgeo.2005.09.009","http://dx.doi.org/10.1016/j.sedgeo.2005.09.009")</f>
        <v>http://dx.doi.org/10.1016/j.sedgeo.2005.09.009</v>
      </c>
      <c r="BG278" t="s">
        <v>74</v>
      </c>
      <c r="BH278" t="s">
        <v>74</v>
      </c>
      <c r="BI278">
        <v>27</v>
      </c>
      <c r="BJ278" t="s">
        <v>1130</v>
      </c>
      <c r="BK278" t="s">
        <v>98</v>
      </c>
      <c r="BL278" t="s">
        <v>1130</v>
      </c>
      <c r="BM278" t="s">
        <v>4690</v>
      </c>
      <c r="BN278" t="s">
        <v>74</v>
      </c>
      <c r="BO278" t="s">
        <v>74</v>
      </c>
      <c r="BP278" t="s">
        <v>74</v>
      </c>
      <c r="BQ278" t="s">
        <v>74</v>
      </c>
      <c r="BR278" t="s">
        <v>101</v>
      </c>
      <c r="BS278" t="s">
        <v>4691</v>
      </c>
      <c r="BT278" t="str">
        <f>HYPERLINK("https%3A%2F%2Fwww.webofscience.com%2Fwos%2Fwoscc%2Ffull-record%2FWOS:000234530700005","View Full Record in Web of Science")</f>
        <v>View Full Record in Web of Science</v>
      </c>
    </row>
    <row r="279" spans="1:72" x14ac:dyDescent="0.15">
      <c r="A279" t="s">
        <v>72</v>
      </c>
      <c r="B279" t="s">
        <v>4692</v>
      </c>
      <c r="C279" t="s">
        <v>74</v>
      </c>
      <c r="D279" t="s">
        <v>74</v>
      </c>
      <c r="E279" t="s">
        <v>74</v>
      </c>
      <c r="F279" t="s">
        <v>4693</v>
      </c>
      <c r="G279" t="s">
        <v>74</v>
      </c>
      <c r="H279" t="s">
        <v>74</v>
      </c>
      <c r="I279" t="s">
        <v>4694</v>
      </c>
      <c r="J279" t="s">
        <v>4695</v>
      </c>
      <c r="K279" t="s">
        <v>74</v>
      </c>
      <c r="L279" t="s">
        <v>74</v>
      </c>
      <c r="M279" t="s">
        <v>77</v>
      </c>
      <c r="N279" t="s">
        <v>78</v>
      </c>
      <c r="O279" t="s">
        <v>74</v>
      </c>
      <c r="P279" t="s">
        <v>74</v>
      </c>
      <c r="Q279" t="s">
        <v>74</v>
      </c>
      <c r="R279" t="s">
        <v>74</v>
      </c>
      <c r="S279" t="s">
        <v>74</v>
      </c>
      <c r="T279" t="s">
        <v>74</v>
      </c>
      <c r="U279" t="s">
        <v>74</v>
      </c>
      <c r="V279" t="s">
        <v>4696</v>
      </c>
      <c r="W279" t="s">
        <v>4697</v>
      </c>
      <c r="X279" t="s">
        <v>4698</v>
      </c>
      <c r="Y279" t="s">
        <v>4699</v>
      </c>
      <c r="Z279" t="s">
        <v>4700</v>
      </c>
      <c r="AA279" t="s">
        <v>4701</v>
      </c>
      <c r="AB279" t="s">
        <v>4702</v>
      </c>
      <c r="AC279" t="s">
        <v>4703</v>
      </c>
      <c r="AD279" t="s">
        <v>4704</v>
      </c>
      <c r="AE279" t="s">
        <v>4705</v>
      </c>
      <c r="AF279" t="s">
        <v>74</v>
      </c>
      <c r="AG279">
        <v>29</v>
      </c>
      <c r="AH279">
        <v>3</v>
      </c>
      <c r="AI279">
        <v>3</v>
      </c>
      <c r="AJ279">
        <v>1</v>
      </c>
      <c r="AK279">
        <v>6</v>
      </c>
      <c r="AL279" t="s">
        <v>4706</v>
      </c>
      <c r="AM279" t="s">
        <v>1123</v>
      </c>
      <c r="AN279" t="s">
        <v>4707</v>
      </c>
      <c r="AO279" t="s">
        <v>4708</v>
      </c>
      <c r="AP279" t="s">
        <v>74</v>
      </c>
      <c r="AQ279" t="s">
        <v>74</v>
      </c>
      <c r="AR279" t="s">
        <v>4695</v>
      </c>
      <c r="AS279" t="s">
        <v>4695</v>
      </c>
      <c r="AT279" t="s">
        <v>74</v>
      </c>
      <c r="AU279">
        <v>2006</v>
      </c>
      <c r="AV279">
        <v>2</v>
      </c>
      <c r="AW279" t="s">
        <v>74</v>
      </c>
      <c r="AX279" t="s">
        <v>74</v>
      </c>
      <c r="AY279" t="s">
        <v>74</v>
      </c>
      <c r="AZ279" t="s">
        <v>74</v>
      </c>
      <c r="BA279" t="s">
        <v>74</v>
      </c>
      <c r="BB279">
        <v>72</v>
      </c>
      <c r="BC279">
        <v>75</v>
      </c>
      <c r="BD279" t="s">
        <v>74</v>
      </c>
      <c r="BE279" t="s">
        <v>4709</v>
      </c>
      <c r="BF279" t="str">
        <f>HYPERLINK("http://dx.doi.org/10.2151/sola.2006-019","http://dx.doi.org/10.2151/sola.2006-019")</f>
        <v>http://dx.doi.org/10.2151/sola.2006-019</v>
      </c>
      <c r="BG279" t="s">
        <v>74</v>
      </c>
      <c r="BH279" t="s">
        <v>74</v>
      </c>
      <c r="BI279">
        <v>4</v>
      </c>
      <c r="BJ279" t="s">
        <v>2033</v>
      </c>
      <c r="BK279" t="s">
        <v>98</v>
      </c>
      <c r="BL279" t="s">
        <v>2033</v>
      </c>
      <c r="BM279" t="s">
        <v>4710</v>
      </c>
      <c r="BN279" t="s">
        <v>74</v>
      </c>
      <c r="BO279" t="s">
        <v>1900</v>
      </c>
      <c r="BP279" t="s">
        <v>74</v>
      </c>
      <c r="BQ279" t="s">
        <v>74</v>
      </c>
      <c r="BR279" t="s">
        <v>101</v>
      </c>
      <c r="BS279" t="s">
        <v>4711</v>
      </c>
      <c r="BT279" t="str">
        <f>HYPERLINK("https%3A%2F%2Fwww.webofscience.com%2Fwos%2Fwoscc%2Ffull-record%2FWOS:000208289800019","View Full Record in Web of Science")</f>
        <v>View Full Record in Web of Science</v>
      </c>
    </row>
    <row r="280" spans="1:72" x14ac:dyDescent="0.15">
      <c r="A280" t="s">
        <v>297</v>
      </c>
      <c r="B280" t="s">
        <v>4712</v>
      </c>
      <c r="C280" t="s">
        <v>74</v>
      </c>
      <c r="D280" t="s">
        <v>4713</v>
      </c>
      <c r="E280" t="s">
        <v>74</v>
      </c>
      <c r="F280" t="s">
        <v>4714</v>
      </c>
      <c r="G280" t="s">
        <v>74</v>
      </c>
      <c r="H280" t="s">
        <v>74</v>
      </c>
      <c r="I280" t="s">
        <v>4715</v>
      </c>
      <c r="J280" t="s">
        <v>4716</v>
      </c>
      <c r="K280" t="s">
        <v>4717</v>
      </c>
      <c r="L280" t="s">
        <v>74</v>
      </c>
      <c r="M280" t="s">
        <v>77</v>
      </c>
      <c r="N280" t="s">
        <v>304</v>
      </c>
      <c r="O280" t="s">
        <v>4718</v>
      </c>
      <c r="P280" t="s">
        <v>4719</v>
      </c>
      <c r="Q280" t="s">
        <v>4720</v>
      </c>
      <c r="R280" t="s">
        <v>74</v>
      </c>
      <c r="S280" t="s">
        <v>74</v>
      </c>
      <c r="T280" t="s">
        <v>4721</v>
      </c>
      <c r="U280" t="s">
        <v>4722</v>
      </c>
      <c r="V280" t="s">
        <v>4723</v>
      </c>
      <c r="W280" t="s">
        <v>4724</v>
      </c>
      <c r="X280" t="s">
        <v>3419</v>
      </c>
      <c r="Y280" t="s">
        <v>4725</v>
      </c>
      <c r="Z280" t="s">
        <v>4726</v>
      </c>
      <c r="AA280" t="s">
        <v>74</v>
      </c>
      <c r="AB280" t="s">
        <v>74</v>
      </c>
      <c r="AC280" t="s">
        <v>4727</v>
      </c>
      <c r="AD280" t="s">
        <v>4728</v>
      </c>
      <c r="AE280" t="s">
        <v>4729</v>
      </c>
      <c r="AF280" t="s">
        <v>74</v>
      </c>
      <c r="AG280">
        <v>20</v>
      </c>
      <c r="AH280">
        <v>1</v>
      </c>
      <c r="AI280">
        <v>1</v>
      </c>
      <c r="AJ280">
        <v>0</v>
      </c>
      <c r="AK280">
        <v>4</v>
      </c>
      <c r="AL280" t="s">
        <v>4730</v>
      </c>
      <c r="AM280" t="s">
        <v>4731</v>
      </c>
      <c r="AN280" t="s">
        <v>4732</v>
      </c>
      <c r="AO280" t="s">
        <v>4733</v>
      </c>
      <c r="AP280" t="s">
        <v>74</v>
      </c>
      <c r="AQ280" t="s">
        <v>74</v>
      </c>
      <c r="AR280" t="s">
        <v>4734</v>
      </c>
      <c r="AS280" t="s">
        <v>74</v>
      </c>
      <c r="AT280" t="s">
        <v>74</v>
      </c>
      <c r="AU280">
        <v>2006</v>
      </c>
      <c r="AV280">
        <v>76</v>
      </c>
      <c r="AW280">
        <v>4</v>
      </c>
      <c r="AX280" t="s">
        <v>74</v>
      </c>
      <c r="AY280" t="s">
        <v>74</v>
      </c>
      <c r="AZ280" t="s">
        <v>74</v>
      </c>
      <c r="BA280" t="s">
        <v>74</v>
      </c>
      <c r="BB280">
        <v>890</v>
      </c>
      <c r="BC280" t="s">
        <v>1059</v>
      </c>
      <c r="BD280" t="s">
        <v>74</v>
      </c>
      <c r="BE280" t="s">
        <v>74</v>
      </c>
      <c r="BF280" t="s">
        <v>74</v>
      </c>
      <c r="BG280" t="s">
        <v>74</v>
      </c>
      <c r="BH280" t="s">
        <v>74</v>
      </c>
      <c r="BI280">
        <v>3</v>
      </c>
      <c r="BJ280" t="s">
        <v>3351</v>
      </c>
      <c r="BK280" t="s">
        <v>328</v>
      </c>
      <c r="BL280" t="s">
        <v>3352</v>
      </c>
      <c r="BM280" t="s">
        <v>4735</v>
      </c>
      <c r="BN280" t="s">
        <v>74</v>
      </c>
      <c r="BO280" t="s">
        <v>74</v>
      </c>
      <c r="BP280" t="s">
        <v>74</v>
      </c>
      <c r="BQ280" t="s">
        <v>74</v>
      </c>
      <c r="BR280" t="s">
        <v>101</v>
      </c>
      <c r="BS280" t="s">
        <v>4736</v>
      </c>
      <c r="BT280" t="str">
        <f>HYPERLINK("https%3A%2F%2Fwww.webofscience.com%2Fwos%2Fwoscc%2Ffull-record%2FWOS:000237205500029","View Full Record in Web of Science")</f>
        <v>View Full Record in Web of Science</v>
      </c>
    </row>
    <row r="281" spans="1:72" x14ac:dyDescent="0.15">
      <c r="A281" t="s">
        <v>72</v>
      </c>
      <c r="B281" t="s">
        <v>4737</v>
      </c>
      <c r="C281" t="s">
        <v>74</v>
      </c>
      <c r="D281" t="s">
        <v>74</v>
      </c>
      <c r="E281" t="s">
        <v>74</v>
      </c>
      <c r="F281" t="s">
        <v>4738</v>
      </c>
      <c r="G281" t="s">
        <v>74</v>
      </c>
      <c r="H281" t="s">
        <v>74</v>
      </c>
      <c r="I281" t="s">
        <v>4739</v>
      </c>
      <c r="J281" t="s">
        <v>4740</v>
      </c>
      <c r="K281" t="s">
        <v>74</v>
      </c>
      <c r="L281" t="s">
        <v>74</v>
      </c>
      <c r="M281" t="s">
        <v>77</v>
      </c>
      <c r="N281" t="s">
        <v>78</v>
      </c>
      <c r="O281" t="s">
        <v>74</v>
      </c>
      <c r="P281" t="s">
        <v>74</v>
      </c>
      <c r="Q281" t="s">
        <v>74</v>
      </c>
      <c r="R281" t="s">
        <v>74</v>
      </c>
      <c r="S281" t="s">
        <v>74</v>
      </c>
      <c r="T281" t="s">
        <v>4741</v>
      </c>
      <c r="U281" t="s">
        <v>4742</v>
      </c>
      <c r="V281" t="s">
        <v>4743</v>
      </c>
      <c r="W281" t="s">
        <v>4744</v>
      </c>
      <c r="X281" t="s">
        <v>4745</v>
      </c>
      <c r="Y281" t="s">
        <v>4746</v>
      </c>
      <c r="Z281" t="s">
        <v>4747</v>
      </c>
      <c r="AA281" t="s">
        <v>74</v>
      </c>
      <c r="AB281" t="s">
        <v>4748</v>
      </c>
      <c r="AC281" t="s">
        <v>74</v>
      </c>
      <c r="AD281" t="s">
        <v>74</v>
      </c>
      <c r="AE281" t="s">
        <v>74</v>
      </c>
      <c r="AF281" t="s">
        <v>74</v>
      </c>
      <c r="AG281">
        <v>19</v>
      </c>
      <c r="AH281">
        <v>29</v>
      </c>
      <c r="AI281">
        <v>29</v>
      </c>
      <c r="AJ281">
        <v>0</v>
      </c>
      <c r="AK281">
        <v>8</v>
      </c>
      <c r="AL281" t="s">
        <v>4749</v>
      </c>
      <c r="AM281" t="s">
        <v>4750</v>
      </c>
      <c r="AN281" t="s">
        <v>4751</v>
      </c>
      <c r="AO281" t="s">
        <v>4752</v>
      </c>
      <c r="AP281" t="s">
        <v>4753</v>
      </c>
      <c r="AQ281" t="s">
        <v>74</v>
      </c>
      <c r="AR281" t="s">
        <v>4754</v>
      </c>
      <c r="AS281" t="s">
        <v>4755</v>
      </c>
      <c r="AT281" t="s">
        <v>74</v>
      </c>
      <c r="AU281">
        <v>2006</v>
      </c>
      <c r="AV281">
        <v>24</v>
      </c>
      <c r="AW281">
        <v>4</v>
      </c>
      <c r="AX281" t="s">
        <v>74</v>
      </c>
      <c r="AY281" t="s">
        <v>74</v>
      </c>
      <c r="AZ281" t="s">
        <v>74</v>
      </c>
      <c r="BA281" t="s">
        <v>74</v>
      </c>
      <c r="BB281">
        <v>603</v>
      </c>
      <c r="BC281">
        <v>620</v>
      </c>
      <c r="BD281" t="s">
        <v>74</v>
      </c>
      <c r="BE281" t="s">
        <v>4756</v>
      </c>
      <c r="BF281" t="str">
        <f>HYPERLINK("http://dx.doi.org/10.1080/07366290600762108","http://dx.doi.org/10.1080/07366290600762108")</f>
        <v>http://dx.doi.org/10.1080/07366290600762108</v>
      </c>
      <c r="BG281" t="s">
        <v>74</v>
      </c>
      <c r="BH281" t="s">
        <v>74</v>
      </c>
      <c r="BI281">
        <v>18</v>
      </c>
      <c r="BJ281" t="s">
        <v>4757</v>
      </c>
      <c r="BK281" t="s">
        <v>98</v>
      </c>
      <c r="BL281" t="s">
        <v>3291</v>
      </c>
      <c r="BM281" t="s">
        <v>4758</v>
      </c>
      <c r="BN281" t="s">
        <v>74</v>
      </c>
      <c r="BO281" t="s">
        <v>74</v>
      </c>
      <c r="BP281" t="s">
        <v>74</v>
      </c>
      <c r="BQ281" t="s">
        <v>74</v>
      </c>
      <c r="BR281" t="s">
        <v>101</v>
      </c>
      <c r="BS281" t="s">
        <v>4759</v>
      </c>
      <c r="BT281" t="str">
        <f>HYPERLINK("https%3A%2F%2Fwww.webofscience.com%2Fwos%2Fwoscc%2Ffull-record%2FWOS:000238616200008","View Full Record in Web of Science")</f>
        <v>View Full Record in Web of Science</v>
      </c>
    </row>
    <row r="282" spans="1:72" x14ac:dyDescent="0.15">
      <c r="A282" t="s">
        <v>297</v>
      </c>
      <c r="B282" t="s">
        <v>4760</v>
      </c>
      <c r="C282" t="s">
        <v>74</v>
      </c>
      <c r="D282" t="s">
        <v>4761</v>
      </c>
      <c r="E282" t="s">
        <v>74</v>
      </c>
      <c r="F282" t="s">
        <v>4762</v>
      </c>
      <c r="G282" t="s">
        <v>74</v>
      </c>
      <c r="H282" t="s">
        <v>74</v>
      </c>
      <c r="I282" t="s">
        <v>4763</v>
      </c>
      <c r="J282" t="s">
        <v>4764</v>
      </c>
      <c r="K282" t="s">
        <v>1419</v>
      </c>
      <c r="L282" t="s">
        <v>74</v>
      </c>
      <c r="M282" t="s">
        <v>77</v>
      </c>
      <c r="N282" t="s">
        <v>304</v>
      </c>
      <c r="O282" t="s">
        <v>1420</v>
      </c>
      <c r="P282" t="s">
        <v>1421</v>
      </c>
      <c r="Q282" t="s">
        <v>1422</v>
      </c>
      <c r="R282" t="s">
        <v>74</v>
      </c>
      <c r="S282" t="s">
        <v>74</v>
      </c>
      <c r="T282" t="s">
        <v>4765</v>
      </c>
      <c r="U282" t="s">
        <v>4766</v>
      </c>
      <c r="V282" t="s">
        <v>4767</v>
      </c>
      <c r="W282" t="s">
        <v>4768</v>
      </c>
      <c r="X282" t="s">
        <v>4769</v>
      </c>
      <c r="Y282" t="s">
        <v>4770</v>
      </c>
      <c r="Z282" t="s">
        <v>4771</v>
      </c>
      <c r="AA282" t="s">
        <v>4772</v>
      </c>
      <c r="AB282" t="s">
        <v>4773</v>
      </c>
      <c r="AC282" t="s">
        <v>74</v>
      </c>
      <c r="AD282" t="s">
        <v>74</v>
      </c>
      <c r="AE282" t="s">
        <v>74</v>
      </c>
      <c r="AF282" t="s">
        <v>74</v>
      </c>
      <c r="AG282">
        <v>43</v>
      </c>
      <c r="AH282">
        <v>0</v>
      </c>
      <c r="AI282">
        <v>0</v>
      </c>
      <c r="AJ282">
        <v>0</v>
      </c>
      <c r="AK282">
        <v>4</v>
      </c>
      <c r="AL282" t="s">
        <v>1434</v>
      </c>
      <c r="AM282" t="s">
        <v>140</v>
      </c>
      <c r="AN282" t="s">
        <v>1435</v>
      </c>
      <c r="AO282" t="s">
        <v>1436</v>
      </c>
      <c r="AP282" t="s">
        <v>74</v>
      </c>
      <c r="AQ282" t="s">
        <v>74</v>
      </c>
      <c r="AR282" t="s">
        <v>1437</v>
      </c>
      <c r="AS282" t="s">
        <v>74</v>
      </c>
      <c r="AT282" t="s">
        <v>74</v>
      </c>
      <c r="AU282">
        <v>2006</v>
      </c>
      <c r="AV282">
        <v>38</v>
      </c>
      <c r="AW282">
        <v>6</v>
      </c>
      <c r="AX282" t="s">
        <v>74</v>
      </c>
      <c r="AY282" t="s">
        <v>74</v>
      </c>
      <c r="AZ282" t="s">
        <v>74</v>
      </c>
      <c r="BA282" t="s">
        <v>74</v>
      </c>
      <c r="BB282">
        <v>1191</v>
      </c>
      <c r="BC282" t="s">
        <v>1059</v>
      </c>
      <c r="BD282" t="s">
        <v>74</v>
      </c>
      <c r="BE282" t="s">
        <v>4774</v>
      </c>
      <c r="BF282" t="str">
        <f>HYPERLINK("http://dx.doi.org/10.1016/j.asr.2005.05.034","http://dx.doi.org/10.1016/j.asr.2005.05.034")</f>
        <v>http://dx.doi.org/10.1016/j.asr.2005.05.034</v>
      </c>
      <c r="BG282" t="s">
        <v>74</v>
      </c>
      <c r="BH282" t="s">
        <v>74</v>
      </c>
      <c r="BI282">
        <v>3</v>
      </c>
      <c r="BJ282" t="s">
        <v>4775</v>
      </c>
      <c r="BK282" t="s">
        <v>328</v>
      </c>
      <c r="BL282" t="s">
        <v>4776</v>
      </c>
      <c r="BM282" t="s">
        <v>4777</v>
      </c>
      <c r="BN282" t="s">
        <v>74</v>
      </c>
      <c r="BO282" t="s">
        <v>534</v>
      </c>
      <c r="BP282" t="s">
        <v>74</v>
      </c>
      <c r="BQ282" t="s">
        <v>74</v>
      </c>
      <c r="BR282" t="s">
        <v>101</v>
      </c>
      <c r="BS282" t="s">
        <v>4778</v>
      </c>
      <c r="BT282" t="str">
        <f>HYPERLINK("https%3A%2F%2Fwww.webofscience.com%2Fwos%2Fwoscc%2Ffull-record%2FWOS:000245034100025","View Full Record in Web of Science")</f>
        <v>View Full Record in Web of Science</v>
      </c>
    </row>
    <row r="283" spans="1:72" x14ac:dyDescent="0.15">
      <c r="A283" t="s">
        <v>72</v>
      </c>
      <c r="B283" t="s">
        <v>4779</v>
      </c>
      <c r="C283" t="s">
        <v>74</v>
      </c>
      <c r="D283" t="s">
        <v>74</v>
      </c>
      <c r="E283" t="s">
        <v>74</v>
      </c>
      <c r="F283" t="s">
        <v>4780</v>
      </c>
      <c r="G283" t="s">
        <v>74</v>
      </c>
      <c r="H283" t="s">
        <v>74</v>
      </c>
      <c r="I283" t="s">
        <v>4781</v>
      </c>
      <c r="J283" t="s">
        <v>4782</v>
      </c>
      <c r="K283" t="s">
        <v>74</v>
      </c>
      <c r="L283" t="s">
        <v>74</v>
      </c>
      <c r="M283" t="s">
        <v>4783</v>
      </c>
      <c r="N283" t="s">
        <v>78</v>
      </c>
      <c r="O283" t="s">
        <v>74</v>
      </c>
      <c r="P283" t="s">
        <v>74</v>
      </c>
      <c r="Q283" t="s">
        <v>74</v>
      </c>
      <c r="R283" t="s">
        <v>74</v>
      </c>
      <c r="S283" t="s">
        <v>74</v>
      </c>
      <c r="T283" t="s">
        <v>74</v>
      </c>
      <c r="U283" t="s">
        <v>74</v>
      </c>
      <c r="V283" t="s">
        <v>4784</v>
      </c>
      <c r="W283" t="s">
        <v>4785</v>
      </c>
      <c r="X283" t="s">
        <v>4786</v>
      </c>
      <c r="Y283" t="s">
        <v>4787</v>
      </c>
      <c r="Z283" t="s">
        <v>74</v>
      </c>
      <c r="AA283" t="s">
        <v>4788</v>
      </c>
      <c r="AB283" t="s">
        <v>74</v>
      </c>
      <c r="AC283" t="s">
        <v>74</v>
      </c>
      <c r="AD283" t="s">
        <v>74</v>
      </c>
      <c r="AE283" t="s">
        <v>74</v>
      </c>
      <c r="AF283" t="s">
        <v>74</v>
      </c>
      <c r="AG283">
        <v>16</v>
      </c>
      <c r="AH283">
        <v>0</v>
      </c>
      <c r="AI283">
        <v>0</v>
      </c>
      <c r="AJ283">
        <v>0</v>
      </c>
      <c r="AK283">
        <v>0</v>
      </c>
      <c r="AL283" t="s">
        <v>4789</v>
      </c>
      <c r="AM283" t="s">
        <v>4790</v>
      </c>
      <c r="AN283" t="s">
        <v>4791</v>
      </c>
      <c r="AO283" t="s">
        <v>4792</v>
      </c>
      <c r="AP283" t="s">
        <v>4793</v>
      </c>
      <c r="AQ283" t="s">
        <v>74</v>
      </c>
      <c r="AR283" t="s">
        <v>4794</v>
      </c>
      <c r="AS283" t="s">
        <v>4795</v>
      </c>
      <c r="AT283" t="s">
        <v>74</v>
      </c>
      <c r="AU283">
        <v>2006</v>
      </c>
      <c r="AV283">
        <v>12</v>
      </c>
      <c r="AW283">
        <v>4</v>
      </c>
      <c r="AX283" t="s">
        <v>74</v>
      </c>
      <c r="AY283" t="s">
        <v>74</v>
      </c>
      <c r="AZ283" t="s">
        <v>74</v>
      </c>
      <c r="BA283" t="s">
        <v>74</v>
      </c>
      <c r="BB283">
        <v>71</v>
      </c>
      <c r="BC283">
        <v>77</v>
      </c>
      <c r="BD283" t="s">
        <v>74</v>
      </c>
      <c r="BE283" t="s">
        <v>74</v>
      </c>
      <c r="BF283" t="s">
        <v>74</v>
      </c>
      <c r="BG283" t="s">
        <v>74</v>
      </c>
      <c r="BH283" t="s">
        <v>74</v>
      </c>
      <c r="BI283">
        <v>7</v>
      </c>
      <c r="BJ283" t="s">
        <v>4376</v>
      </c>
      <c r="BK283" t="s">
        <v>1219</v>
      </c>
      <c r="BL283" t="s">
        <v>4376</v>
      </c>
      <c r="BM283" t="s">
        <v>4796</v>
      </c>
      <c r="BN283" t="s">
        <v>74</v>
      </c>
      <c r="BO283" t="s">
        <v>74</v>
      </c>
      <c r="BP283" t="s">
        <v>74</v>
      </c>
      <c r="BQ283" t="s">
        <v>74</v>
      </c>
      <c r="BR283" t="s">
        <v>101</v>
      </c>
      <c r="BS283" t="s">
        <v>4797</v>
      </c>
      <c r="BT283" t="str">
        <f>HYPERLINK("https%3A%2F%2Fwww.webofscience.com%2Fwos%2Fwoscc%2Ffull-record%2FWOS:000445360400010","View Full Record in Web of Science")</f>
        <v>View Full Record in Web of Science</v>
      </c>
    </row>
    <row r="284" spans="1:72" x14ac:dyDescent="0.15">
      <c r="A284" t="s">
        <v>72</v>
      </c>
      <c r="B284" t="s">
        <v>4798</v>
      </c>
      <c r="C284" t="s">
        <v>74</v>
      </c>
      <c r="D284" t="s">
        <v>74</v>
      </c>
      <c r="E284" t="s">
        <v>74</v>
      </c>
      <c r="F284" t="s">
        <v>4799</v>
      </c>
      <c r="G284" t="s">
        <v>74</v>
      </c>
      <c r="H284" t="s">
        <v>74</v>
      </c>
      <c r="I284" t="s">
        <v>4800</v>
      </c>
      <c r="J284" t="s">
        <v>4801</v>
      </c>
      <c r="K284" t="s">
        <v>74</v>
      </c>
      <c r="L284" t="s">
        <v>74</v>
      </c>
      <c r="M284" t="s">
        <v>77</v>
      </c>
      <c r="N284" t="s">
        <v>289</v>
      </c>
      <c r="O284" t="s">
        <v>74</v>
      </c>
      <c r="P284" t="s">
        <v>74</v>
      </c>
      <c r="Q284" t="s">
        <v>74</v>
      </c>
      <c r="R284" t="s">
        <v>74</v>
      </c>
      <c r="S284" t="s">
        <v>74</v>
      </c>
      <c r="T284" t="s">
        <v>4802</v>
      </c>
      <c r="U284" t="s">
        <v>4803</v>
      </c>
      <c r="V284" t="s">
        <v>4804</v>
      </c>
      <c r="W284" t="s">
        <v>4805</v>
      </c>
      <c r="X284" t="s">
        <v>4806</v>
      </c>
      <c r="Y284" t="s">
        <v>4807</v>
      </c>
      <c r="Z284" t="s">
        <v>4808</v>
      </c>
      <c r="AA284" t="s">
        <v>4809</v>
      </c>
      <c r="AB284" t="s">
        <v>4810</v>
      </c>
      <c r="AC284" t="s">
        <v>74</v>
      </c>
      <c r="AD284" t="s">
        <v>74</v>
      </c>
      <c r="AE284" t="s">
        <v>74</v>
      </c>
      <c r="AF284" t="s">
        <v>74</v>
      </c>
      <c r="AG284">
        <v>31</v>
      </c>
      <c r="AH284">
        <v>2</v>
      </c>
      <c r="AI284">
        <v>2</v>
      </c>
      <c r="AJ284">
        <v>0</v>
      </c>
      <c r="AK284">
        <v>6</v>
      </c>
      <c r="AL284" t="s">
        <v>88</v>
      </c>
      <c r="AM284" t="s">
        <v>162</v>
      </c>
      <c r="AN284" t="s">
        <v>163</v>
      </c>
      <c r="AO284" t="s">
        <v>4811</v>
      </c>
      <c r="AP284" t="s">
        <v>4812</v>
      </c>
      <c r="AQ284" t="s">
        <v>74</v>
      </c>
      <c r="AR284" t="s">
        <v>4813</v>
      </c>
      <c r="AS284" t="s">
        <v>4814</v>
      </c>
      <c r="AT284" t="s">
        <v>74</v>
      </c>
      <c r="AU284">
        <v>2006</v>
      </c>
      <c r="AV284">
        <v>122</v>
      </c>
      <c r="AW284" t="s">
        <v>4815</v>
      </c>
      <c r="AX284" t="s">
        <v>74</v>
      </c>
      <c r="AY284" t="s">
        <v>74</v>
      </c>
      <c r="AZ284" t="s">
        <v>74</v>
      </c>
      <c r="BA284" t="s">
        <v>74</v>
      </c>
      <c r="BB284">
        <v>107</v>
      </c>
      <c r="BC284">
        <v>117</v>
      </c>
      <c r="BD284" t="s">
        <v>74</v>
      </c>
      <c r="BE284" t="s">
        <v>4816</v>
      </c>
      <c r="BF284" t="str">
        <f>HYPERLINK("http://dx.doi.org/10.1007/s11214-006-7015-7","http://dx.doi.org/10.1007/s11214-006-7015-7")</f>
        <v>http://dx.doi.org/10.1007/s11214-006-7015-7</v>
      </c>
      <c r="BG284" t="s">
        <v>74</v>
      </c>
      <c r="BH284" t="s">
        <v>74</v>
      </c>
      <c r="BI284">
        <v>11</v>
      </c>
      <c r="BJ284" t="s">
        <v>4376</v>
      </c>
      <c r="BK284" t="s">
        <v>98</v>
      </c>
      <c r="BL284" t="s">
        <v>4376</v>
      </c>
      <c r="BM284" t="s">
        <v>4817</v>
      </c>
      <c r="BN284" t="s">
        <v>74</v>
      </c>
      <c r="BO284" t="s">
        <v>74</v>
      </c>
      <c r="BP284" t="s">
        <v>74</v>
      </c>
      <c r="BQ284" t="s">
        <v>74</v>
      </c>
      <c r="BR284" t="s">
        <v>101</v>
      </c>
      <c r="BS284" t="s">
        <v>4818</v>
      </c>
      <c r="BT284" t="str">
        <f>HYPERLINK("https%3A%2F%2Fwww.webofscience.com%2Fwos%2Fwoscc%2Ffull-record%2FWOS:000239927800011","View Full Record in Web of Science")</f>
        <v>View Full Record in Web of Science</v>
      </c>
    </row>
    <row r="285" spans="1:72" x14ac:dyDescent="0.15">
      <c r="A285" t="s">
        <v>297</v>
      </c>
      <c r="B285" t="s">
        <v>4819</v>
      </c>
      <c r="C285" t="s">
        <v>74</v>
      </c>
      <c r="D285" t="s">
        <v>4820</v>
      </c>
      <c r="E285" t="s">
        <v>74</v>
      </c>
      <c r="F285" t="s">
        <v>4821</v>
      </c>
      <c r="G285" t="s">
        <v>74</v>
      </c>
      <c r="H285" t="s">
        <v>74</v>
      </c>
      <c r="I285" t="s">
        <v>4822</v>
      </c>
      <c r="J285" t="s">
        <v>4823</v>
      </c>
      <c r="K285" t="s">
        <v>4500</v>
      </c>
      <c r="L285" t="s">
        <v>74</v>
      </c>
      <c r="M285" t="s">
        <v>77</v>
      </c>
      <c r="N285" t="s">
        <v>304</v>
      </c>
      <c r="O285" t="s">
        <v>4824</v>
      </c>
      <c r="P285" t="s">
        <v>4825</v>
      </c>
      <c r="Q285" t="s">
        <v>4826</v>
      </c>
      <c r="R285" t="s">
        <v>74</v>
      </c>
      <c r="S285" t="s">
        <v>74</v>
      </c>
      <c r="T285" t="s">
        <v>4827</v>
      </c>
      <c r="U285" t="s">
        <v>4828</v>
      </c>
      <c r="V285" t="s">
        <v>4829</v>
      </c>
      <c r="W285" t="s">
        <v>4830</v>
      </c>
      <c r="X285" t="s">
        <v>74</v>
      </c>
      <c r="Y285" t="s">
        <v>4831</v>
      </c>
      <c r="Z285" t="s">
        <v>74</v>
      </c>
      <c r="AA285" t="s">
        <v>74</v>
      </c>
      <c r="AB285" t="s">
        <v>74</v>
      </c>
      <c r="AC285" t="s">
        <v>74</v>
      </c>
      <c r="AD285" t="s">
        <v>74</v>
      </c>
      <c r="AE285" t="s">
        <v>74</v>
      </c>
      <c r="AF285" t="s">
        <v>74</v>
      </c>
      <c r="AG285">
        <v>12</v>
      </c>
      <c r="AH285">
        <v>0</v>
      </c>
      <c r="AI285">
        <v>0</v>
      </c>
      <c r="AJ285">
        <v>0</v>
      </c>
      <c r="AK285">
        <v>0</v>
      </c>
      <c r="AL285" t="s">
        <v>318</v>
      </c>
      <c r="AM285" t="s">
        <v>319</v>
      </c>
      <c r="AN285" t="s">
        <v>320</v>
      </c>
      <c r="AO285" t="s">
        <v>321</v>
      </c>
      <c r="AP285" t="s">
        <v>74</v>
      </c>
      <c r="AQ285" t="s">
        <v>4832</v>
      </c>
      <c r="AR285" t="s">
        <v>4509</v>
      </c>
      <c r="AS285" t="s">
        <v>74</v>
      </c>
      <c r="AT285" t="s">
        <v>74</v>
      </c>
      <c r="AU285">
        <v>2006</v>
      </c>
      <c r="AV285">
        <v>6522</v>
      </c>
      <c r="AW285" t="s">
        <v>74</v>
      </c>
      <c r="AX285" t="s">
        <v>74</v>
      </c>
      <c r="AY285" t="s">
        <v>74</v>
      </c>
      <c r="AZ285" t="s">
        <v>74</v>
      </c>
      <c r="BA285" t="s">
        <v>74</v>
      </c>
      <c r="BB285" t="s">
        <v>4833</v>
      </c>
      <c r="BC285" t="s">
        <v>4833</v>
      </c>
      <c r="BD285" t="s">
        <v>4834</v>
      </c>
      <c r="BE285" t="s">
        <v>4835</v>
      </c>
      <c r="BF285" t="str">
        <f>HYPERLINK("http://dx.doi.org/10.1117/12.723038","http://dx.doi.org/10.1117/12.723038")</f>
        <v>http://dx.doi.org/10.1117/12.723038</v>
      </c>
      <c r="BG285" t="s">
        <v>74</v>
      </c>
      <c r="BH285" t="s">
        <v>74</v>
      </c>
      <c r="BI285">
        <v>4</v>
      </c>
      <c r="BJ285" t="s">
        <v>4836</v>
      </c>
      <c r="BK285" t="s">
        <v>328</v>
      </c>
      <c r="BL285" t="s">
        <v>4837</v>
      </c>
      <c r="BM285" t="s">
        <v>4838</v>
      </c>
      <c r="BN285" t="s">
        <v>74</v>
      </c>
      <c r="BO285" t="s">
        <v>74</v>
      </c>
      <c r="BP285" t="s">
        <v>74</v>
      </c>
      <c r="BQ285" t="s">
        <v>74</v>
      </c>
      <c r="BR285" t="s">
        <v>101</v>
      </c>
      <c r="BS285" t="s">
        <v>4839</v>
      </c>
      <c r="BT285" t="str">
        <f>HYPERLINK("https%3A%2F%2Fwww.webofscience.com%2Fwos%2Fwoscc%2Ffull-record%2FWOS:000245104400016","View Full Record in Web of Science")</f>
        <v>View Full Record in Web of Science</v>
      </c>
    </row>
    <row r="286" spans="1:72" x14ac:dyDescent="0.15">
      <c r="A286" t="s">
        <v>297</v>
      </c>
      <c r="B286" t="s">
        <v>4840</v>
      </c>
      <c r="C286" t="s">
        <v>74</v>
      </c>
      <c r="D286" t="s">
        <v>4820</v>
      </c>
      <c r="E286" t="s">
        <v>74</v>
      </c>
      <c r="F286" t="s">
        <v>4841</v>
      </c>
      <c r="G286" t="s">
        <v>74</v>
      </c>
      <c r="H286" t="s">
        <v>74</v>
      </c>
      <c r="I286" t="s">
        <v>4842</v>
      </c>
      <c r="J286" t="s">
        <v>4843</v>
      </c>
      <c r="K286" t="s">
        <v>303</v>
      </c>
      <c r="L286" t="s">
        <v>74</v>
      </c>
      <c r="M286" t="s">
        <v>77</v>
      </c>
      <c r="N286" t="s">
        <v>304</v>
      </c>
      <c r="O286" t="s">
        <v>4824</v>
      </c>
      <c r="P286" t="s">
        <v>4825</v>
      </c>
      <c r="Q286" t="s">
        <v>4826</v>
      </c>
      <c r="R286" t="s">
        <v>74</v>
      </c>
      <c r="S286" t="s">
        <v>74</v>
      </c>
      <c r="T286" t="s">
        <v>4844</v>
      </c>
      <c r="U286" t="s">
        <v>74</v>
      </c>
      <c r="V286" t="s">
        <v>4845</v>
      </c>
      <c r="W286" t="s">
        <v>4846</v>
      </c>
      <c r="X286" t="s">
        <v>4847</v>
      </c>
      <c r="Y286" t="s">
        <v>4848</v>
      </c>
      <c r="Z286" t="s">
        <v>4849</v>
      </c>
      <c r="AA286" t="s">
        <v>74</v>
      </c>
      <c r="AB286" t="s">
        <v>74</v>
      </c>
      <c r="AC286" t="s">
        <v>74</v>
      </c>
      <c r="AD286" t="s">
        <v>74</v>
      </c>
      <c r="AE286" t="s">
        <v>74</v>
      </c>
      <c r="AF286" t="s">
        <v>74</v>
      </c>
      <c r="AG286">
        <v>10</v>
      </c>
      <c r="AH286">
        <v>0</v>
      </c>
      <c r="AI286">
        <v>0</v>
      </c>
      <c r="AJ286">
        <v>0</v>
      </c>
      <c r="AK286">
        <v>0</v>
      </c>
      <c r="AL286" t="s">
        <v>318</v>
      </c>
      <c r="AM286" t="s">
        <v>319</v>
      </c>
      <c r="AN286" t="s">
        <v>320</v>
      </c>
      <c r="AO286" t="s">
        <v>321</v>
      </c>
      <c r="AP286" t="s">
        <v>322</v>
      </c>
      <c r="AQ286" t="s">
        <v>4832</v>
      </c>
      <c r="AR286" t="s">
        <v>324</v>
      </c>
      <c r="AS286" t="s">
        <v>74</v>
      </c>
      <c r="AT286" t="s">
        <v>74</v>
      </c>
      <c r="AU286">
        <v>2006</v>
      </c>
      <c r="AV286">
        <v>6522</v>
      </c>
      <c r="AW286" t="s">
        <v>74</v>
      </c>
      <c r="AX286" t="s">
        <v>74</v>
      </c>
      <c r="AY286" t="s">
        <v>74</v>
      </c>
      <c r="AZ286" t="s">
        <v>74</v>
      </c>
      <c r="BA286" t="s">
        <v>74</v>
      </c>
      <c r="BB286" t="s">
        <v>74</v>
      </c>
      <c r="BC286" t="s">
        <v>74</v>
      </c>
      <c r="BD286" t="s">
        <v>4850</v>
      </c>
      <c r="BE286" t="s">
        <v>4851</v>
      </c>
      <c r="BF286" t="str">
        <f>HYPERLINK("http://dx.doi.org/10.1117/12.723225","http://dx.doi.org/10.1117/12.723225")</f>
        <v>http://dx.doi.org/10.1117/12.723225</v>
      </c>
      <c r="BG286" t="s">
        <v>74</v>
      </c>
      <c r="BH286" t="s">
        <v>74</v>
      </c>
      <c r="BI286">
        <v>6</v>
      </c>
      <c r="BJ286" t="s">
        <v>4836</v>
      </c>
      <c r="BK286" t="s">
        <v>328</v>
      </c>
      <c r="BL286" t="s">
        <v>4837</v>
      </c>
      <c r="BM286" t="s">
        <v>4838</v>
      </c>
      <c r="BN286" t="s">
        <v>74</v>
      </c>
      <c r="BO286" t="s">
        <v>74</v>
      </c>
      <c r="BP286" t="s">
        <v>74</v>
      </c>
      <c r="BQ286" t="s">
        <v>74</v>
      </c>
      <c r="BR286" t="s">
        <v>101</v>
      </c>
      <c r="BS286" t="s">
        <v>4852</v>
      </c>
      <c r="BT286" t="str">
        <f>HYPERLINK("https%3A%2F%2Fwww.webofscience.com%2Fwos%2Fwoscc%2Ffull-record%2FWOS:000245104400067","View Full Record in Web of Science")</f>
        <v>View Full Record in Web of Science</v>
      </c>
    </row>
    <row r="287" spans="1:72" x14ac:dyDescent="0.15">
      <c r="A287" t="s">
        <v>577</v>
      </c>
      <c r="B287" t="s">
        <v>4853</v>
      </c>
      <c r="C287" t="s">
        <v>74</v>
      </c>
      <c r="D287" t="s">
        <v>4854</v>
      </c>
      <c r="E287" t="s">
        <v>74</v>
      </c>
      <c r="F287" t="s">
        <v>4855</v>
      </c>
      <c r="G287" t="s">
        <v>74</v>
      </c>
      <c r="H287" t="s">
        <v>74</v>
      </c>
      <c r="I287" t="s">
        <v>4856</v>
      </c>
      <c r="J287" t="s">
        <v>4857</v>
      </c>
      <c r="K287" t="s">
        <v>4858</v>
      </c>
      <c r="L287" t="s">
        <v>74</v>
      </c>
      <c r="M287" t="s">
        <v>77</v>
      </c>
      <c r="N287" t="s">
        <v>381</v>
      </c>
      <c r="O287" t="s">
        <v>74</v>
      </c>
      <c r="P287" t="s">
        <v>74</v>
      </c>
      <c r="Q287" t="s">
        <v>74</v>
      </c>
      <c r="R287" t="s">
        <v>74</v>
      </c>
      <c r="S287" t="s">
        <v>74</v>
      </c>
      <c r="T287" t="s">
        <v>74</v>
      </c>
      <c r="U287" t="s">
        <v>4859</v>
      </c>
      <c r="V287" t="s">
        <v>74</v>
      </c>
      <c r="W287" t="s">
        <v>4860</v>
      </c>
      <c r="X287" t="s">
        <v>788</v>
      </c>
      <c r="Y287" t="s">
        <v>4861</v>
      </c>
      <c r="Z287" t="s">
        <v>74</v>
      </c>
      <c r="AA287" t="s">
        <v>4862</v>
      </c>
      <c r="AB287" t="s">
        <v>74</v>
      </c>
      <c r="AC287" t="s">
        <v>74</v>
      </c>
      <c r="AD287" t="s">
        <v>74</v>
      </c>
      <c r="AE287" t="s">
        <v>74</v>
      </c>
      <c r="AF287" t="s">
        <v>74</v>
      </c>
      <c r="AG287">
        <v>57</v>
      </c>
      <c r="AH287">
        <v>53</v>
      </c>
      <c r="AI287">
        <v>58</v>
      </c>
      <c r="AJ287">
        <v>0</v>
      </c>
      <c r="AK287">
        <v>2</v>
      </c>
      <c r="AL287" t="s">
        <v>2239</v>
      </c>
      <c r="AM287" t="s">
        <v>2111</v>
      </c>
      <c r="AN287" t="s">
        <v>3803</v>
      </c>
      <c r="AO287" t="s">
        <v>4863</v>
      </c>
      <c r="AP287" t="s">
        <v>74</v>
      </c>
      <c r="AQ287" t="s">
        <v>4864</v>
      </c>
      <c r="AR287" t="s">
        <v>4865</v>
      </c>
      <c r="AS287" t="s">
        <v>4866</v>
      </c>
      <c r="AT287" t="s">
        <v>74</v>
      </c>
      <c r="AU287">
        <v>2006</v>
      </c>
      <c r="AV287" t="s">
        <v>74</v>
      </c>
      <c r="AW287">
        <v>12</v>
      </c>
      <c r="AX287" t="s">
        <v>74</v>
      </c>
      <c r="AY287" t="s">
        <v>74</v>
      </c>
      <c r="AZ287" t="s">
        <v>74</v>
      </c>
      <c r="BA287" t="s">
        <v>74</v>
      </c>
      <c r="BB287">
        <v>28</v>
      </c>
      <c r="BC287">
        <v>45</v>
      </c>
      <c r="BD287" t="s">
        <v>74</v>
      </c>
      <c r="BE287" t="s">
        <v>4867</v>
      </c>
      <c r="BF287" t="str">
        <f>HYPERLINK("http://dx.doi.org/10.1017/CBO9780511541964.004","http://dx.doi.org/10.1017/CBO9780511541964.004")</f>
        <v>http://dx.doi.org/10.1017/CBO9780511541964.004</v>
      </c>
      <c r="BG287" t="s">
        <v>4868</v>
      </c>
      <c r="BH287" t="s">
        <v>74</v>
      </c>
      <c r="BI287">
        <v>18</v>
      </c>
      <c r="BJ287" t="s">
        <v>4869</v>
      </c>
      <c r="BK287" t="s">
        <v>609</v>
      </c>
      <c r="BL287" t="s">
        <v>4870</v>
      </c>
      <c r="BM287" t="s">
        <v>4871</v>
      </c>
      <c r="BN287" t="s">
        <v>74</v>
      </c>
      <c r="BO287" t="s">
        <v>74</v>
      </c>
      <c r="BP287" t="s">
        <v>74</v>
      </c>
      <c r="BQ287" t="s">
        <v>74</v>
      </c>
      <c r="BR287" t="s">
        <v>101</v>
      </c>
      <c r="BS287" t="s">
        <v>4872</v>
      </c>
      <c r="BT287" t="str">
        <f>HYPERLINK("https%3A%2F%2Fwww.webofscience.com%2Fwos%2Fwoscc%2Ffull-record%2FWOS:000299885900004","View Full Record in Web of Science")</f>
        <v>View Full Record in Web of Science</v>
      </c>
    </row>
    <row r="288" spans="1:72" x14ac:dyDescent="0.15">
      <c r="A288" t="s">
        <v>577</v>
      </c>
      <c r="B288" t="s">
        <v>4873</v>
      </c>
      <c r="C288" t="s">
        <v>74</v>
      </c>
      <c r="D288" t="s">
        <v>4854</v>
      </c>
      <c r="E288" t="s">
        <v>74</v>
      </c>
      <c r="F288" t="s">
        <v>4874</v>
      </c>
      <c r="G288" t="s">
        <v>74</v>
      </c>
      <c r="H288" t="s">
        <v>74</v>
      </c>
      <c r="I288" t="s">
        <v>4875</v>
      </c>
      <c r="J288" t="s">
        <v>4857</v>
      </c>
      <c r="K288" t="s">
        <v>4858</v>
      </c>
      <c r="L288" t="s">
        <v>74</v>
      </c>
      <c r="M288" t="s">
        <v>77</v>
      </c>
      <c r="N288" t="s">
        <v>381</v>
      </c>
      <c r="O288" t="s">
        <v>74</v>
      </c>
      <c r="P288" t="s">
        <v>74</v>
      </c>
      <c r="Q288" t="s">
        <v>74</v>
      </c>
      <c r="R288" t="s">
        <v>74</v>
      </c>
      <c r="S288" t="s">
        <v>74</v>
      </c>
      <c r="T288" t="s">
        <v>74</v>
      </c>
      <c r="U288" t="s">
        <v>4876</v>
      </c>
      <c r="V288" t="s">
        <v>74</v>
      </c>
      <c r="W288" t="s">
        <v>4877</v>
      </c>
      <c r="X288" t="s">
        <v>4878</v>
      </c>
      <c r="Y288" t="s">
        <v>4879</v>
      </c>
      <c r="Z288" t="s">
        <v>74</v>
      </c>
      <c r="AA288" t="s">
        <v>4880</v>
      </c>
      <c r="AB288" t="s">
        <v>4881</v>
      </c>
      <c r="AC288" t="s">
        <v>74</v>
      </c>
      <c r="AD288" t="s">
        <v>74</v>
      </c>
      <c r="AE288" t="s">
        <v>74</v>
      </c>
      <c r="AF288" t="s">
        <v>74</v>
      </c>
      <c r="AG288">
        <v>40</v>
      </c>
      <c r="AH288">
        <v>20</v>
      </c>
      <c r="AI288">
        <v>24</v>
      </c>
      <c r="AJ288">
        <v>0</v>
      </c>
      <c r="AK288">
        <v>2</v>
      </c>
      <c r="AL288" t="s">
        <v>2239</v>
      </c>
      <c r="AM288" t="s">
        <v>2111</v>
      </c>
      <c r="AN288" t="s">
        <v>3803</v>
      </c>
      <c r="AO288" t="s">
        <v>4863</v>
      </c>
      <c r="AP288" t="s">
        <v>74</v>
      </c>
      <c r="AQ288" t="s">
        <v>4864</v>
      </c>
      <c r="AR288" t="s">
        <v>4865</v>
      </c>
      <c r="AS288" t="s">
        <v>4866</v>
      </c>
      <c r="AT288" t="s">
        <v>74</v>
      </c>
      <c r="AU288">
        <v>2006</v>
      </c>
      <c r="AV288" t="s">
        <v>74</v>
      </c>
      <c r="AW288">
        <v>12</v>
      </c>
      <c r="AX288" t="s">
        <v>74</v>
      </c>
      <c r="AY288" t="s">
        <v>74</v>
      </c>
      <c r="AZ288" t="s">
        <v>74</v>
      </c>
      <c r="BA288" t="s">
        <v>74</v>
      </c>
      <c r="BB288">
        <v>63</v>
      </c>
      <c r="BC288">
        <v>81</v>
      </c>
      <c r="BD288" t="s">
        <v>74</v>
      </c>
      <c r="BE288" t="s">
        <v>4882</v>
      </c>
      <c r="BF288" t="str">
        <f>HYPERLINK("http://dx.doi.org/10.1017/CBO9780511541964.006","http://dx.doi.org/10.1017/CBO9780511541964.006")</f>
        <v>http://dx.doi.org/10.1017/CBO9780511541964.006</v>
      </c>
      <c r="BG288" t="s">
        <v>4868</v>
      </c>
      <c r="BH288" t="s">
        <v>74</v>
      </c>
      <c r="BI288">
        <v>19</v>
      </c>
      <c r="BJ288" t="s">
        <v>4869</v>
      </c>
      <c r="BK288" t="s">
        <v>609</v>
      </c>
      <c r="BL288" t="s">
        <v>4870</v>
      </c>
      <c r="BM288" t="s">
        <v>4871</v>
      </c>
      <c r="BN288" t="s">
        <v>74</v>
      </c>
      <c r="BO288" t="s">
        <v>74</v>
      </c>
      <c r="BP288" t="s">
        <v>74</v>
      </c>
      <c r="BQ288" t="s">
        <v>74</v>
      </c>
      <c r="BR288" t="s">
        <v>101</v>
      </c>
      <c r="BS288" t="s">
        <v>4883</v>
      </c>
      <c r="BT288" t="str">
        <f>HYPERLINK("https%3A%2F%2Fwww.webofscience.com%2Fwos%2Fwoscc%2Ffull-record%2FWOS:000299885900006","View Full Record in Web of Science")</f>
        <v>View Full Record in Web of Science</v>
      </c>
    </row>
    <row r="289" spans="1:72" x14ac:dyDescent="0.15">
      <c r="A289" t="s">
        <v>577</v>
      </c>
      <c r="B289" t="s">
        <v>4884</v>
      </c>
      <c r="C289" t="s">
        <v>74</v>
      </c>
      <c r="D289" t="s">
        <v>4854</v>
      </c>
      <c r="E289" t="s">
        <v>74</v>
      </c>
      <c r="F289" t="s">
        <v>4885</v>
      </c>
      <c r="G289" t="s">
        <v>74</v>
      </c>
      <c r="H289" t="s">
        <v>74</v>
      </c>
      <c r="I289" t="s">
        <v>4886</v>
      </c>
      <c r="J289" t="s">
        <v>4857</v>
      </c>
      <c r="K289" t="s">
        <v>4858</v>
      </c>
      <c r="L289" t="s">
        <v>74</v>
      </c>
      <c r="M289" t="s">
        <v>77</v>
      </c>
      <c r="N289" t="s">
        <v>381</v>
      </c>
      <c r="O289" t="s">
        <v>74</v>
      </c>
      <c r="P289" t="s">
        <v>74</v>
      </c>
      <c r="Q289" t="s">
        <v>74</v>
      </c>
      <c r="R289" t="s">
        <v>74</v>
      </c>
      <c r="S289" t="s">
        <v>74</v>
      </c>
      <c r="T289" t="s">
        <v>74</v>
      </c>
      <c r="U289" t="s">
        <v>4887</v>
      </c>
      <c r="V289" t="s">
        <v>74</v>
      </c>
      <c r="W289" t="s">
        <v>4888</v>
      </c>
      <c r="X289" t="s">
        <v>788</v>
      </c>
      <c r="Y289" t="s">
        <v>4889</v>
      </c>
      <c r="Z289" t="s">
        <v>74</v>
      </c>
      <c r="AA289" t="s">
        <v>4890</v>
      </c>
      <c r="AB289" t="s">
        <v>4891</v>
      </c>
      <c r="AC289" t="s">
        <v>74</v>
      </c>
      <c r="AD289" t="s">
        <v>74</v>
      </c>
      <c r="AE289" t="s">
        <v>74</v>
      </c>
      <c r="AF289" t="s">
        <v>74</v>
      </c>
      <c r="AG289">
        <v>24</v>
      </c>
      <c r="AH289">
        <v>5</v>
      </c>
      <c r="AI289">
        <v>8</v>
      </c>
      <c r="AJ289">
        <v>0</v>
      </c>
      <c r="AK289">
        <v>0</v>
      </c>
      <c r="AL289" t="s">
        <v>2239</v>
      </c>
      <c r="AM289" t="s">
        <v>2111</v>
      </c>
      <c r="AN289" t="s">
        <v>3803</v>
      </c>
      <c r="AO289" t="s">
        <v>4863</v>
      </c>
      <c r="AP289" t="s">
        <v>74</v>
      </c>
      <c r="AQ289" t="s">
        <v>4892</v>
      </c>
      <c r="AR289" t="s">
        <v>4865</v>
      </c>
      <c r="AS289" t="s">
        <v>4866</v>
      </c>
      <c r="AT289" t="s">
        <v>74</v>
      </c>
      <c r="AU289">
        <v>2006</v>
      </c>
      <c r="AV289" t="s">
        <v>74</v>
      </c>
      <c r="AW289">
        <v>12</v>
      </c>
      <c r="AX289" t="s">
        <v>74</v>
      </c>
      <c r="AY289" t="s">
        <v>74</v>
      </c>
      <c r="AZ289" t="s">
        <v>74</v>
      </c>
      <c r="BA289" t="s">
        <v>74</v>
      </c>
      <c r="BB289">
        <v>131</v>
      </c>
      <c r="BC289">
        <v>142</v>
      </c>
      <c r="BD289" t="s">
        <v>74</v>
      </c>
      <c r="BE289" t="s">
        <v>4893</v>
      </c>
      <c r="BF289" t="str">
        <f>HYPERLINK("http://dx.doi.org/10.1017/CBO9780511541964.010","http://dx.doi.org/10.1017/CBO9780511541964.010")</f>
        <v>http://dx.doi.org/10.1017/CBO9780511541964.010</v>
      </c>
      <c r="BG289" t="s">
        <v>4868</v>
      </c>
      <c r="BH289" t="s">
        <v>74</v>
      </c>
      <c r="BI289">
        <v>12</v>
      </c>
      <c r="BJ289" t="s">
        <v>4869</v>
      </c>
      <c r="BK289" t="s">
        <v>609</v>
      </c>
      <c r="BL289" t="s">
        <v>4870</v>
      </c>
      <c r="BM289" t="s">
        <v>4871</v>
      </c>
      <c r="BN289" t="s">
        <v>74</v>
      </c>
      <c r="BO289" t="s">
        <v>74</v>
      </c>
      <c r="BP289" t="s">
        <v>74</v>
      </c>
      <c r="BQ289" t="s">
        <v>74</v>
      </c>
      <c r="BR289" t="s">
        <v>101</v>
      </c>
      <c r="BS289" t="s">
        <v>4894</v>
      </c>
      <c r="BT289" t="str">
        <f>HYPERLINK("https%3A%2F%2Fwww.webofscience.com%2Fwos%2Fwoscc%2Ffull-record%2FWOS:000299885900010","View Full Record in Web of Science")</f>
        <v>View Full Record in Web of Science</v>
      </c>
    </row>
    <row r="290" spans="1:72" x14ac:dyDescent="0.15">
      <c r="A290" t="s">
        <v>577</v>
      </c>
      <c r="B290" t="s">
        <v>4895</v>
      </c>
      <c r="C290" t="s">
        <v>74</v>
      </c>
      <c r="D290" t="s">
        <v>4854</v>
      </c>
      <c r="E290" t="s">
        <v>74</v>
      </c>
      <c r="F290" t="s">
        <v>4896</v>
      </c>
      <c r="G290" t="s">
        <v>74</v>
      </c>
      <c r="H290" t="s">
        <v>74</v>
      </c>
      <c r="I290" t="s">
        <v>4897</v>
      </c>
      <c r="J290" t="s">
        <v>4857</v>
      </c>
      <c r="K290" t="s">
        <v>4858</v>
      </c>
      <c r="L290" t="s">
        <v>74</v>
      </c>
      <c r="M290" t="s">
        <v>77</v>
      </c>
      <c r="N290" t="s">
        <v>381</v>
      </c>
      <c r="O290" t="s">
        <v>74</v>
      </c>
      <c r="P290" t="s">
        <v>74</v>
      </c>
      <c r="Q290" t="s">
        <v>74</v>
      </c>
      <c r="R290" t="s">
        <v>74</v>
      </c>
      <c r="S290" t="s">
        <v>74</v>
      </c>
      <c r="T290" t="s">
        <v>74</v>
      </c>
      <c r="U290" t="s">
        <v>4898</v>
      </c>
      <c r="V290" t="s">
        <v>74</v>
      </c>
      <c r="W290" t="s">
        <v>3931</v>
      </c>
      <c r="X290" t="s">
        <v>788</v>
      </c>
      <c r="Y290" t="s">
        <v>4899</v>
      </c>
      <c r="Z290" t="s">
        <v>74</v>
      </c>
      <c r="AA290" t="s">
        <v>74</v>
      </c>
      <c r="AB290" t="s">
        <v>74</v>
      </c>
      <c r="AC290" t="s">
        <v>74</v>
      </c>
      <c r="AD290" t="s">
        <v>74</v>
      </c>
      <c r="AE290" t="s">
        <v>74</v>
      </c>
      <c r="AF290" t="s">
        <v>74</v>
      </c>
      <c r="AG290">
        <v>39</v>
      </c>
      <c r="AH290">
        <v>14</v>
      </c>
      <c r="AI290">
        <v>15</v>
      </c>
      <c r="AJ290">
        <v>0</v>
      </c>
      <c r="AK290">
        <v>3</v>
      </c>
      <c r="AL290" t="s">
        <v>2239</v>
      </c>
      <c r="AM290" t="s">
        <v>2111</v>
      </c>
      <c r="AN290" t="s">
        <v>3803</v>
      </c>
      <c r="AO290" t="s">
        <v>4863</v>
      </c>
      <c r="AP290" t="s">
        <v>74</v>
      </c>
      <c r="AQ290" t="s">
        <v>4892</v>
      </c>
      <c r="AR290" t="s">
        <v>4865</v>
      </c>
      <c r="AS290" t="s">
        <v>4866</v>
      </c>
      <c r="AT290" t="s">
        <v>74</v>
      </c>
      <c r="AU290">
        <v>2006</v>
      </c>
      <c r="AV290" t="s">
        <v>74</v>
      </c>
      <c r="AW290">
        <v>12</v>
      </c>
      <c r="AX290" t="s">
        <v>74</v>
      </c>
      <c r="AY290" t="s">
        <v>74</v>
      </c>
      <c r="AZ290" t="s">
        <v>74</v>
      </c>
      <c r="BA290" t="s">
        <v>74</v>
      </c>
      <c r="BB290">
        <v>157</v>
      </c>
      <c r="BC290">
        <v>176</v>
      </c>
      <c r="BD290" t="s">
        <v>74</v>
      </c>
      <c r="BE290" t="s">
        <v>4900</v>
      </c>
      <c r="BF290" t="str">
        <f>HYPERLINK("http://dx.doi.org/10.1017/CBO9780511541964.012","http://dx.doi.org/10.1017/CBO9780511541964.012")</f>
        <v>http://dx.doi.org/10.1017/CBO9780511541964.012</v>
      </c>
      <c r="BG290" t="s">
        <v>4868</v>
      </c>
      <c r="BH290" t="s">
        <v>74</v>
      </c>
      <c r="BI290">
        <v>20</v>
      </c>
      <c r="BJ290" t="s">
        <v>4869</v>
      </c>
      <c r="BK290" t="s">
        <v>609</v>
      </c>
      <c r="BL290" t="s">
        <v>4870</v>
      </c>
      <c r="BM290" t="s">
        <v>4871</v>
      </c>
      <c r="BN290" t="s">
        <v>74</v>
      </c>
      <c r="BO290" t="s">
        <v>74</v>
      </c>
      <c r="BP290" t="s">
        <v>74</v>
      </c>
      <c r="BQ290" t="s">
        <v>74</v>
      </c>
      <c r="BR290" t="s">
        <v>101</v>
      </c>
      <c r="BS290" t="s">
        <v>4901</v>
      </c>
      <c r="BT290" t="str">
        <f>HYPERLINK("https%3A%2F%2Fwww.webofscience.com%2Fwos%2Fwoscc%2Ffull-record%2FWOS:000299885900012","View Full Record in Web of Science")</f>
        <v>View Full Record in Web of Science</v>
      </c>
    </row>
    <row r="291" spans="1:72" x14ac:dyDescent="0.15">
      <c r="A291" t="s">
        <v>577</v>
      </c>
      <c r="B291" t="s">
        <v>4902</v>
      </c>
      <c r="C291" t="s">
        <v>74</v>
      </c>
      <c r="D291" t="s">
        <v>4854</v>
      </c>
      <c r="E291" t="s">
        <v>74</v>
      </c>
      <c r="F291" t="s">
        <v>4903</v>
      </c>
      <c r="G291" t="s">
        <v>74</v>
      </c>
      <c r="H291" t="s">
        <v>74</v>
      </c>
      <c r="I291" t="s">
        <v>4904</v>
      </c>
      <c r="J291" t="s">
        <v>4857</v>
      </c>
      <c r="K291" t="s">
        <v>4858</v>
      </c>
      <c r="L291" t="s">
        <v>74</v>
      </c>
      <c r="M291" t="s">
        <v>77</v>
      </c>
      <c r="N291" t="s">
        <v>381</v>
      </c>
      <c r="O291" t="s">
        <v>74</v>
      </c>
      <c r="P291" t="s">
        <v>74</v>
      </c>
      <c r="Q291" t="s">
        <v>74</v>
      </c>
      <c r="R291" t="s">
        <v>74</v>
      </c>
      <c r="S291" t="s">
        <v>74</v>
      </c>
      <c r="T291" t="s">
        <v>74</v>
      </c>
      <c r="U291" t="s">
        <v>4905</v>
      </c>
      <c r="V291" t="s">
        <v>74</v>
      </c>
      <c r="W291" t="s">
        <v>4906</v>
      </c>
      <c r="X291" t="s">
        <v>4907</v>
      </c>
      <c r="Y291" t="s">
        <v>4908</v>
      </c>
      <c r="Z291" t="s">
        <v>74</v>
      </c>
      <c r="AA291" t="s">
        <v>4909</v>
      </c>
      <c r="AB291" t="s">
        <v>4910</v>
      </c>
      <c r="AC291" t="s">
        <v>74</v>
      </c>
      <c r="AD291" t="s">
        <v>74</v>
      </c>
      <c r="AE291" t="s">
        <v>74</v>
      </c>
      <c r="AF291" t="s">
        <v>74</v>
      </c>
      <c r="AG291">
        <v>17</v>
      </c>
      <c r="AH291">
        <v>10</v>
      </c>
      <c r="AI291">
        <v>11</v>
      </c>
      <c r="AJ291">
        <v>0</v>
      </c>
      <c r="AK291">
        <v>9</v>
      </c>
      <c r="AL291" t="s">
        <v>2239</v>
      </c>
      <c r="AM291" t="s">
        <v>2111</v>
      </c>
      <c r="AN291" t="s">
        <v>3803</v>
      </c>
      <c r="AO291" t="s">
        <v>4863</v>
      </c>
      <c r="AP291" t="s">
        <v>74</v>
      </c>
      <c r="AQ291" t="s">
        <v>4892</v>
      </c>
      <c r="AR291" t="s">
        <v>4865</v>
      </c>
      <c r="AS291" t="s">
        <v>4866</v>
      </c>
      <c r="AT291" t="s">
        <v>74</v>
      </c>
      <c r="AU291">
        <v>2006</v>
      </c>
      <c r="AV291" t="s">
        <v>74</v>
      </c>
      <c r="AW291">
        <v>12</v>
      </c>
      <c r="AX291" t="s">
        <v>74</v>
      </c>
      <c r="AY291" t="s">
        <v>74</v>
      </c>
      <c r="AZ291" t="s">
        <v>74</v>
      </c>
      <c r="BA291" t="s">
        <v>74</v>
      </c>
      <c r="BB291">
        <v>236</v>
      </c>
      <c r="BC291">
        <v>248</v>
      </c>
      <c r="BD291" t="s">
        <v>74</v>
      </c>
      <c r="BE291" t="s">
        <v>4911</v>
      </c>
      <c r="BF291" t="str">
        <f>HYPERLINK("http://dx.doi.org/10.1017/CBO9780511541964.017","http://dx.doi.org/10.1017/CBO9780511541964.017")</f>
        <v>http://dx.doi.org/10.1017/CBO9780511541964.017</v>
      </c>
      <c r="BG291" t="s">
        <v>4868</v>
      </c>
      <c r="BH291" t="s">
        <v>74</v>
      </c>
      <c r="BI291">
        <v>13</v>
      </c>
      <c r="BJ291" t="s">
        <v>4869</v>
      </c>
      <c r="BK291" t="s">
        <v>609</v>
      </c>
      <c r="BL291" t="s">
        <v>4870</v>
      </c>
      <c r="BM291" t="s">
        <v>4871</v>
      </c>
      <c r="BN291" t="s">
        <v>74</v>
      </c>
      <c r="BO291" t="s">
        <v>74</v>
      </c>
      <c r="BP291" t="s">
        <v>74</v>
      </c>
      <c r="BQ291" t="s">
        <v>74</v>
      </c>
      <c r="BR291" t="s">
        <v>101</v>
      </c>
      <c r="BS291" t="s">
        <v>4912</v>
      </c>
      <c r="BT291" t="str">
        <f>HYPERLINK("https%3A%2F%2Fwww.webofscience.com%2Fwos%2Fwoscc%2Ffull-record%2FWOS:000299885900017","View Full Record in Web of Science")</f>
        <v>View Full Record in Web of Science</v>
      </c>
    </row>
    <row r="292" spans="1:72" x14ac:dyDescent="0.15">
      <c r="A292" t="s">
        <v>577</v>
      </c>
      <c r="B292" t="s">
        <v>4913</v>
      </c>
      <c r="C292" t="s">
        <v>74</v>
      </c>
      <c r="D292" t="s">
        <v>4854</v>
      </c>
      <c r="E292" t="s">
        <v>74</v>
      </c>
      <c r="F292" t="s">
        <v>4914</v>
      </c>
      <c r="G292" t="s">
        <v>74</v>
      </c>
      <c r="H292" t="s">
        <v>74</v>
      </c>
      <c r="I292" t="s">
        <v>4915</v>
      </c>
      <c r="J292" t="s">
        <v>4857</v>
      </c>
      <c r="K292" t="s">
        <v>4858</v>
      </c>
      <c r="L292" t="s">
        <v>74</v>
      </c>
      <c r="M292" t="s">
        <v>77</v>
      </c>
      <c r="N292" t="s">
        <v>381</v>
      </c>
      <c r="O292" t="s">
        <v>74</v>
      </c>
      <c r="P292" t="s">
        <v>74</v>
      </c>
      <c r="Q292" t="s">
        <v>74</v>
      </c>
      <c r="R292" t="s">
        <v>74</v>
      </c>
      <c r="S292" t="s">
        <v>74</v>
      </c>
      <c r="T292" t="s">
        <v>74</v>
      </c>
      <c r="U292" t="s">
        <v>4916</v>
      </c>
      <c r="V292" t="s">
        <v>74</v>
      </c>
      <c r="W292" t="s">
        <v>4917</v>
      </c>
      <c r="X292" t="s">
        <v>788</v>
      </c>
      <c r="Y292" t="s">
        <v>4918</v>
      </c>
      <c r="Z292" t="s">
        <v>74</v>
      </c>
      <c r="AA292" t="s">
        <v>4919</v>
      </c>
      <c r="AB292" t="s">
        <v>74</v>
      </c>
      <c r="AC292" t="s">
        <v>74</v>
      </c>
      <c r="AD292" t="s">
        <v>74</v>
      </c>
      <c r="AE292" t="s">
        <v>74</v>
      </c>
      <c r="AF292" t="s">
        <v>74</v>
      </c>
      <c r="AG292">
        <v>33</v>
      </c>
      <c r="AH292">
        <v>6</v>
      </c>
      <c r="AI292">
        <v>8</v>
      </c>
      <c r="AJ292">
        <v>1</v>
      </c>
      <c r="AK292">
        <v>5</v>
      </c>
      <c r="AL292" t="s">
        <v>2239</v>
      </c>
      <c r="AM292" t="s">
        <v>2111</v>
      </c>
      <c r="AN292" t="s">
        <v>3803</v>
      </c>
      <c r="AO292" t="s">
        <v>4863</v>
      </c>
      <c r="AP292" t="s">
        <v>74</v>
      </c>
      <c r="AQ292" t="s">
        <v>4892</v>
      </c>
      <c r="AR292" t="s">
        <v>4865</v>
      </c>
      <c r="AS292" t="s">
        <v>4866</v>
      </c>
      <c r="AT292" t="s">
        <v>74</v>
      </c>
      <c r="AU292">
        <v>2006</v>
      </c>
      <c r="AV292" t="s">
        <v>74</v>
      </c>
      <c r="AW292">
        <v>12</v>
      </c>
      <c r="AX292" t="s">
        <v>74</v>
      </c>
      <c r="AY292" t="s">
        <v>74</v>
      </c>
      <c r="AZ292" t="s">
        <v>74</v>
      </c>
      <c r="BA292" t="s">
        <v>74</v>
      </c>
      <c r="BB292">
        <v>249</v>
      </c>
      <c r="BC292">
        <v>261</v>
      </c>
      <c r="BD292" t="s">
        <v>74</v>
      </c>
      <c r="BE292" t="s">
        <v>4920</v>
      </c>
      <c r="BF292" t="str">
        <f>HYPERLINK("http://dx.doi.org/10.1017/CBO9780511541964.018","http://dx.doi.org/10.1017/CBO9780511541964.018")</f>
        <v>http://dx.doi.org/10.1017/CBO9780511541964.018</v>
      </c>
      <c r="BG292" t="s">
        <v>4868</v>
      </c>
      <c r="BH292" t="s">
        <v>74</v>
      </c>
      <c r="BI292">
        <v>13</v>
      </c>
      <c r="BJ292" t="s">
        <v>4869</v>
      </c>
      <c r="BK292" t="s">
        <v>609</v>
      </c>
      <c r="BL292" t="s">
        <v>4870</v>
      </c>
      <c r="BM292" t="s">
        <v>4871</v>
      </c>
      <c r="BN292" t="s">
        <v>74</v>
      </c>
      <c r="BO292" t="s">
        <v>74</v>
      </c>
      <c r="BP292" t="s">
        <v>74</v>
      </c>
      <c r="BQ292" t="s">
        <v>74</v>
      </c>
      <c r="BR292" t="s">
        <v>101</v>
      </c>
      <c r="BS292" t="s">
        <v>4921</v>
      </c>
      <c r="BT292" t="str">
        <f>HYPERLINK("https%3A%2F%2Fwww.webofscience.com%2Fwos%2Fwoscc%2Ffull-record%2FWOS:000299885900018","View Full Record in Web of Science")</f>
        <v>View Full Record in Web of Science</v>
      </c>
    </row>
    <row r="293" spans="1:72" x14ac:dyDescent="0.15">
      <c r="A293" t="s">
        <v>577</v>
      </c>
      <c r="B293" t="s">
        <v>4922</v>
      </c>
      <c r="C293" t="s">
        <v>74</v>
      </c>
      <c r="D293" t="s">
        <v>4854</v>
      </c>
      <c r="E293" t="s">
        <v>74</v>
      </c>
      <c r="F293" t="s">
        <v>4923</v>
      </c>
      <c r="G293" t="s">
        <v>74</v>
      </c>
      <c r="H293" t="s">
        <v>74</v>
      </c>
      <c r="I293" t="s">
        <v>4924</v>
      </c>
      <c r="J293" t="s">
        <v>4857</v>
      </c>
      <c r="K293" t="s">
        <v>4858</v>
      </c>
      <c r="L293" t="s">
        <v>74</v>
      </c>
      <c r="M293" t="s">
        <v>77</v>
      </c>
      <c r="N293" t="s">
        <v>381</v>
      </c>
      <c r="O293" t="s">
        <v>74</v>
      </c>
      <c r="P293" t="s">
        <v>74</v>
      </c>
      <c r="Q293" t="s">
        <v>74</v>
      </c>
      <c r="R293" t="s">
        <v>74</v>
      </c>
      <c r="S293" t="s">
        <v>74</v>
      </c>
      <c r="T293" t="s">
        <v>74</v>
      </c>
      <c r="U293" t="s">
        <v>4925</v>
      </c>
      <c r="V293" t="s">
        <v>74</v>
      </c>
      <c r="W293" t="s">
        <v>4926</v>
      </c>
      <c r="X293" t="s">
        <v>274</v>
      </c>
      <c r="Y293" t="s">
        <v>4927</v>
      </c>
      <c r="Z293" t="s">
        <v>74</v>
      </c>
      <c r="AA293" t="s">
        <v>74</v>
      </c>
      <c r="AB293" t="s">
        <v>74</v>
      </c>
      <c r="AC293" t="s">
        <v>74</v>
      </c>
      <c r="AD293" t="s">
        <v>74</v>
      </c>
      <c r="AE293" t="s">
        <v>74</v>
      </c>
      <c r="AF293" t="s">
        <v>74</v>
      </c>
      <c r="AG293">
        <v>49</v>
      </c>
      <c r="AH293">
        <v>5</v>
      </c>
      <c r="AI293">
        <v>5</v>
      </c>
      <c r="AJ293">
        <v>0</v>
      </c>
      <c r="AK293">
        <v>0</v>
      </c>
      <c r="AL293" t="s">
        <v>2239</v>
      </c>
      <c r="AM293" t="s">
        <v>2111</v>
      </c>
      <c r="AN293" t="s">
        <v>3803</v>
      </c>
      <c r="AO293" t="s">
        <v>4863</v>
      </c>
      <c r="AP293" t="s">
        <v>74</v>
      </c>
      <c r="AQ293" t="s">
        <v>4864</v>
      </c>
      <c r="AR293" t="s">
        <v>4865</v>
      </c>
      <c r="AS293" t="s">
        <v>4866</v>
      </c>
      <c r="AT293" t="s">
        <v>74</v>
      </c>
      <c r="AU293">
        <v>2006</v>
      </c>
      <c r="AV293" t="s">
        <v>74</v>
      </c>
      <c r="AW293">
        <v>12</v>
      </c>
      <c r="AX293" t="s">
        <v>74</v>
      </c>
      <c r="AY293" t="s">
        <v>74</v>
      </c>
      <c r="AZ293" t="s">
        <v>74</v>
      </c>
      <c r="BA293" t="s">
        <v>74</v>
      </c>
      <c r="BB293">
        <v>324</v>
      </c>
      <c r="BC293">
        <v>346</v>
      </c>
      <c r="BD293" t="s">
        <v>74</v>
      </c>
      <c r="BE293" t="s">
        <v>4928</v>
      </c>
      <c r="BF293" t="str">
        <f>HYPERLINK("http://dx.doi.org/10.1017/CBO9780511541964.023","http://dx.doi.org/10.1017/CBO9780511541964.023")</f>
        <v>http://dx.doi.org/10.1017/CBO9780511541964.023</v>
      </c>
      <c r="BG293" t="s">
        <v>4868</v>
      </c>
      <c r="BH293" t="s">
        <v>74</v>
      </c>
      <c r="BI293">
        <v>23</v>
      </c>
      <c r="BJ293" t="s">
        <v>4869</v>
      </c>
      <c r="BK293" t="s">
        <v>609</v>
      </c>
      <c r="BL293" t="s">
        <v>4870</v>
      </c>
      <c r="BM293" t="s">
        <v>4871</v>
      </c>
      <c r="BN293" t="s">
        <v>74</v>
      </c>
      <c r="BO293" t="s">
        <v>74</v>
      </c>
      <c r="BP293" t="s">
        <v>74</v>
      </c>
      <c r="BQ293" t="s">
        <v>74</v>
      </c>
      <c r="BR293" t="s">
        <v>101</v>
      </c>
      <c r="BS293" t="s">
        <v>4929</v>
      </c>
      <c r="BT293" t="str">
        <f>HYPERLINK("https%3A%2F%2Fwww.webofscience.com%2Fwos%2Fwoscc%2Ffull-record%2FWOS:000299885900023","View Full Record in Web of Science")</f>
        <v>View Full Record in Web of Science</v>
      </c>
    </row>
    <row r="294" spans="1:72" x14ac:dyDescent="0.15">
      <c r="A294" t="s">
        <v>577</v>
      </c>
      <c r="B294" t="s">
        <v>4930</v>
      </c>
      <c r="C294" t="s">
        <v>74</v>
      </c>
      <c r="D294" t="s">
        <v>4931</v>
      </c>
      <c r="E294" t="s">
        <v>74</v>
      </c>
      <c r="F294" t="s">
        <v>4932</v>
      </c>
      <c r="G294" t="s">
        <v>74</v>
      </c>
      <c r="H294" t="s">
        <v>74</v>
      </c>
      <c r="I294" t="s">
        <v>4933</v>
      </c>
      <c r="J294" t="s">
        <v>4934</v>
      </c>
      <c r="K294" t="s">
        <v>4935</v>
      </c>
      <c r="L294" t="s">
        <v>74</v>
      </c>
      <c r="M294" t="s">
        <v>77</v>
      </c>
      <c r="N294" t="s">
        <v>289</v>
      </c>
      <c r="O294" t="s">
        <v>74</v>
      </c>
      <c r="P294" t="s">
        <v>74</v>
      </c>
      <c r="Q294" t="s">
        <v>74</v>
      </c>
      <c r="R294" t="s">
        <v>74</v>
      </c>
      <c r="S294" t="s">
        <v>74</v>
      </c>
      <c r="T294" t="s">
        <v>74</v>
      </c>
      <c r="U294" t="s">
        <v>4936</v>
      </c>
      <c r="V294" t="s">
        <v>74</v>
      </c>
      <c r="W294" t="s">
        <v>4937</v>
      </c>
      <c r="X294" t="s">
        <v>4938</v>
      </c>
      <c r="Y294" t="s">
        <v>4939</v>
      </c>
      <c r="Z294" t="s">
        <v>4940</v>
      </c>
      <c r="AA294" t="s">
        <v>74</v>
      </c>
      <c r="AB294" t="s">
        <v>4941</v>
      </c>
      <c r="AC294" t="s">
        <v>74</v>
      </c>
      <c r="AD294" t="s">
        <v>74</v>
      </c>
      <c r="AE294" t="s">
        <v>74</v>
      </c>
      <c r="AF294" t="s">
        <v>74</v>
      </c>
      <c r="AG294">
        <v>169</v>
      </c>
      <c r="AH294">
        <v>69</v>
      </c>
      <c r="AI294">
        <v>70</v>
      </c>
      <c r="AJ294">
        <v>1</v>
      </c>
      <c r="AK294">
        <v>32</v>
      </c>
      <c r="AL294" t="s">
        <v>4942</v>
      </c>
      <c r="AM294" t="s">
        <v>4943</v>
      </c>
      <c r="AN294" t="s">
        <v>4944</v>
      </c>
      <c r="AO294" t="s">
        <v>4945</v>
      </c>
      <c r="AP294" t="s">
        <v>74</v>
      </c>
      <c r="AQ294" t="s">
        <v>4946</v>
      </c>
      <c r="AR294" t="s">
        <v>4947</v>
      </c>
      <c r="AS294" t="s">
        <v>4948</v>
      </c>
      <c r="AT294" t="s">
        <v>74</v>
      </c>
      <c r="AU294">
        <v>2006</v>
      </c>
      <c r="AV294">
        <v>62</v>
      </c>
      <c r="AW294" t="s">
        <v>74</v>
      </c>
      <c r="AX294" t="s">
        <v>74</v>
      </c>
      <c r="AY294" t="s">
        <v>74</v>
      </c>
      <c r="AZ294" t="s">
        <v>74</v>
      </c>
      <c r="BA294" t="s">
        <v>74</v>
      </c>
      <c r="BB294">
        <v>421</v>
      </c>
      <c r="BC294">
        <v>450</v>
      </c>
      <c r="BD294" t="s">
        <v>74</v>
      </c>
      <c r="BE294" t="s">
        <v>4949</v>
      </c>
      <c r="BF294" t="str">
        <f>HYPERLINK("http://dx.doi.org/10.2138/rmg.2006.62.18","http://dx.doi.org/10.2138/rmg.2006.62.18")</f>
        <v>http://dx.doi.org/10.2138/rmg.2006.62.18</v>
      </c>
      <c r="BG294" t="s">
        <v>74</v>
      </c>
      <c r="BH294" t="s">
        <v>74</v>
      </c>
      <c r="BI294">
        <v>30</v>
      </c>
      <c r="BJ294" t="s">
        <v>4950</v>
      </c>
      <c r="BK294" t="s">
        <v>98</v>
      </c>
      <c r="BL294" t="s">
        <v>4950</v>
      </c>
      <c r="BM294" t="s">
        <v>4951</v>
      </c>
      <c r="BN294" t="s">
        <v>74</v>
      </c>
      <c r="BO294" t="s">
        <v>74</v>
      </c>
      <c r="BP294" t="s">
        <v>74</v>
      </c>
      <c r="BQ294" t="s">
        <v>74</v>
      </c>
      <c r="BR294" t="s">
        <v>101</v>
      </c>
      <c r="BS294" t="s">
        <v>4952</v>
      </c>
      <c r="BT294" t="str">
        <f>HYPERLINK("https%3A%2F%2Fwww.webofscience.com%2Fwos%2Fwoscc%2Ffull-record%2FWOS:000241855800018","View Full Record in Web of Science")</f>
        <v>View Full Record in Web of Science</v>
      </c>
    </row>
    <row r="295" spans="1:72" x14ac:dyDescent="0.15">
      <c r="A295" t="s">
        <v>297</v>
      </c>
      <c r="B295" t="s">
        <v>4953</v>
      </c>
      <c r="C295" t="s">
        <v>74</v>
      </c>
      <c r="D295" t="s">
        <v>4954</v>
      </c>
      <c r="E295" t="s">
        <v>74</v>
      </c>
      <c r="F295" t="s">
        <v>4955</v>
      </c>
      <c r="G295" t="s">
        <v>74</v>
      </c>
      <c r="H295" t="s">
        <v>74</v>
      </c>
      <c r="I295" t="s">
        <v>4956</v>
      </c>
      <c r="J295" t="s">
        <v>4957</v>
      </c>
      <c r="K295" t="s">
        <v>4958</v>
      </c>
      <c r="L295" t="s">
        <v>74</v>
      </c>
      <c r="M295" t="s">
        <v>77</v>
      </c>
      <c r="N295" t="s">
        <v>304</v>
      </c>
      <c r="O295" t="s">
        <v>4959</v>
      </c>
      <c r="P295" t="s">
        <v>4960</v>
      </c>
      <c r="Q295" t="s">
        <v>4961</v>
      </c>
      <c r="R295" t="s">
        <v>74</v>
      </c>
      <c r="S295" t="s">
        <v>74</v>
      </c>
      <c r="T295" t="s">
        <v>74</v>
      </c>
      <c r="U295" t="s">
        <v>4962</v>
      </c>
      <c r="V295" t="s">
        <v>4963</v>
      </c>
      <c r="W295" t="s">
        <v>4964</v>
      </c>
      <c r="X295" t="s">
        <v>4847</v>
      </c>
      <c r="Y295" t="s">
        <v>4965</v>
      </c>
      <c r="Z295" t="s">
        <v>74</v>
      </c>
      <c r="AA295" t="s">
        <v>74</v>
      </c>
      <c r="AB295" t="s">
        <v>4966</v>
      </c>
      <c r="AC295" t="s">
        <v>4967</v>
      </c>
      <c r="AD295" t="s">
        <v>4968</v>
      </c>
      <c r="AE295" t="s">
        <v>4969</v>
      </c>
      <c r="AF295" t="s">
        <v>74</v>
      </c>
      <c r="AG295">
        <v>39</v>
      </c>
      <c r="AH295">
        <v>8</v>
      </c>
      <c r="AI295">
        <v>8</v>
      </c>
      <c r="AJ295">
        <v>0</v>
      </c>
      <c r="AK295">
        <v>1</v>
      </c>
      <c r="AL295" t="s">
        <v>4970</v>
      </c>
      <c r="AM295" t="s">
        <v>4971</v>
      </c>
      <c r="AN295" t="s">
        <v>4972</v>
      </c>
      <c r="AO295" t="s">
        <v>4973</v>
      </c>
      <c r="AP295" t="s">
        <v>74</v>
      </c>
      <c r="AQ295" t="s">
        <v>4974</v>
      </c>
      <c r="AR295" t="s">
        <v>4975</v>
      </c>
      <c r="AS295" t="s">
        <v>74</v>
      </c>
      <c r="AT295" t="s">
        <v>74</v>
      </c>
      <c r="AU295">
        <v>2006</v>
      </c>
      <c r="AV295" t="s">
        <v>74</v>
      </c>
      <c r="AW295">
        <v>489</v>
      </c>
      <c r="AX295" t="s">
        <v>74</v>
      </c>
      <c r="AY295" t="s">
        <v>74</v>
      </c>
      <c r="AZ295" t="s">
        <v>74</v>
      </c>
      <c r="BA295" t="s">
        <v>74</v>
      </c>
      <c r="BB295">
        <v>271</v>
      </c>
      <c r="BC295" t="s">
        <v>1059</v>
      </c>
      <c r="BD295" t="s">
        <v>74</v>
      </c>
      <c r="BE295" t="s">
        <v>74</v>
      </c>
      <c r="BF295" t="s">
        <v>74</v>
      </c>
      <c r="BG295" t="s">
        <v>74</v>
      </c>
      <c r="BH295" t="s">
        <v>74</v>
      </c>
      <c r="BI295">
        <v>4</v>
      </c>
      <c r="BJ295" t="s">
        <v>4976</v>
      </c>
      <c r="BK295" t="s">
        <v>328</v>
      </c>
      <c r="BL295" t="s">
        <v>4976</v>
      </c>
      <c r="BM295" t="s">
        <v>4977</v>
      </c>
      <c r="BN295" t="s">
        <v>74</v>
      </c>
      <c r="BO295" t="s">
        <v>74</v>
      </c>
      <c r="BP295" t="s">
        <v>74</v>
      </c>
      <c r="BQ295" t="s">
        <v>74</v>
      </c>
      <c r="BR295" t="s">
        <v>101</v>
      </c>
      <c r="BS295" t="s">
        <v>4978</v>
      </c>
      <c r="BT295" t="str">
        <f>HYPERLINK("https%3A%2F%2Fwww.webofscience.com%2Fwos%2Fwoscc%2Ffull-record%2FWOS:000246654500006","View Full Record in Web of Science")</f>
        <v>View Full Record in Web of Science</v>
      </c>
    </row>
    <row r="296" spans="1:72" x14ac:dyDescent="0.15">
      <c r="A296" t="s">
        <v>374</v>
      </c>
      <c r="B296" t="s">
        <v>4979</v>
      </c>
      <c r="C296" t="s">
        <v>74</v>
      </c>
      <c r="D296" t="s">
        <v>4980</v>
      </c>
      <c r="E296" t="s">
        <v>74</v>
      </c>
      <c r="F296" t="s">
        <v>4981</v>
      </c>
      <c r="G296" t="s">
        <v>74</v>
      </c>
      <c r="H296" t="s">
        <v>74</v>
      </c>
      <c r="I296" t="s">
        <v>4982</v>
      </c>
      <c r="J296" t="s">
        <v>4983</v>
      </c>
      <c r="K296" t="s">
        <v>74</v>
      </c>
      <c r="L296" t="s">
        <v>74</v>
      </c>
      <c r="M296" t="s">
        <v>77</v>
      </c>
      <c r="N296" t="s">
        <v>381</v>
      </c>
      <c r="O296" t="s">
        <v>74</v>
      </c>
      <c r="P296" t="s">
        <v>74</v>
      </c>
      <c r="Q296" t="s">
        <v>74</v>
      </c>
      <c r="R296" t="s">
        <v>74</v>
      </c>
      <c r="S296" t="s">
        <v>74</v>
      </c>
      <c r="T296" t="s">
        <v>74</v>
      </c>
      <c r="U296" t="s">
        <v>4984</v>
      </c>
      <c r="V296" t="s">
        <v>74</v>
      </c>
      <c r="W296" t="s">
        <v>4985</v>
      </c>
      <c r="X296" t="s">
        <v>4986</v>
      </c>
      <c r="Y296" t="s">
        <v>4987</v>
      </c>
      <c r="Z296" t="s">
        <v>74</v>
      </c>
      <c r="AA296" t="s">
        <v>4988</v>
      </c>
      <c r="AB296" t="s">
        <v>74</v>
      </c>
      <c r="AC296" t="s">
        <v>74</v>
      </c>
      <c r="AD296" t="s">
        <v>74</v>
      </c>
      <c r="AE296" t="s">
        <v>74</v>
      </c>
      <c r="AF296" t="s">
        <v>74</v>
      </c>
      <c r="AG296">
        <v>65</v>
      </c>
      <c r="AH296">
        <v>62</v>
      </c>
      <c r="AI296">
        <v>68</v>
      </c>
      <c r="AJ296">
        <v>0</v>
      </c>
      <c r="AK296">
        <v>17</v>
      </c>
      <c r="AL296" t="s">
        <v>4989</v>
      </c>
      <c r="AM296" t="s">
        <v>4990</v>
      </c>
      <c r="AN296" t="s">
        <v>4991</v>
      </c>
      <c r="AO296" t="s">
        <v>74</v>
      </c>
      <c r="AP296" t="s">
        <v>74</v>
      </c>
      <c r="AQ296" t="s">
        <v>4992</v>
      </c>
      <c r="AR296" t="s">
        <v>74</v>
      </c>
      <c r="AS296" t="s">
        <v>74</v>
      </c>
      <c r="AT296" t="s">
        <v>74</v>
      </c>
      <c r="AU296">
        <v>2006</v>
      </c>
      <c r="AV296" t="s">
        <v>74</v>
      </c>
      <c r="AW296" t="s">
        <v>74</v>
      </c>
      <c r="AX296" t="s">
        <v>74</v>
      </c>
      <c r="AY296" t="s">
        <v>74</v>
      </c>
      <c r="AZ296" t="s">
        <v>74</v>
      </c>
      <c r="BA296" t="s">
        <v>74</v>
      </c>
      <c r="BB296">
        <v>215</v>
      </c>
      <c r="BC296">
        <v>230</v>
      </c>
      <c r="BD296" t="s">
        <v>74</v>
      </c>
      <c r="BE296" t="s">
        <v>74</v>
      </c>
      <c r="BF296" t="s">
        <v>74</v>
      </c>
      <c r="BG296" t="s">
        <v>74</v>
      </c>
      <c r="BH296" t="s">
        <v>74</v>
      </c>
      <c r="BI296">
        <v>16</v>
      </c>
      <c r="BJ296" t="s">
        <v>3205</v>
      </c>
      <c r="BK296" t="s">
        <v>609</v>
      </c>
      <c r="BL296" t="s">
        <v>3205</v>
      </c>
      <c r="BM296" t="s">
        <v>4993</v>
      </c>
      <c r="BN296" t="s">
        <v>74</v>
      </c>
      <c r="BO296" t="s">
        <v>74</v>
      </c>
      <c r="BP296" t="s">
        <v>74</v>
      </c>
      <c r="BQ296" t="s">
        <v>74</v>
      </c>
      <c r="BR296" t="s">
        <v>101</v>
      </c>
      <c r="BS296" t="s">
        <v>4994</v>
      </c>
      <c r="BT296" t="str">
        <f>HYPERLINK("https%3A%2F%2Fwww.webofscience.com%2Fwos%2Fwoscc%2Ffull-record%2FWOS:000296087600018","View Full Record in Web of Science")</f>
        <v>View Full Record in Web of Science</v>
      </c>
    </row>
    <row r="297" spans="1:72" x14ac:dyDescent="0.15">
      <c r="A297" t="s">
        <v>374</v>
      </c>
      <c r="B297" t="s">
        <v>4995</v>
      </c>
      <c r="C297" t="s">
        <v>74</v>
      </c>
      <c r="D297" t="s">
        <v>4980</v>
      </c>
      <c r="E297" t="s">
        <v>74</v>
      </c>
      <c r="F297" t="s">
        <v>4996</v>
      </c>
      <c r="G297" t="s">
        <v>74</v>
      </c>
      <c r="H297" t="s">
        <v>74</v>
      </c>
      <c r="I297" t="s">
        <v>4997</v>
      </c>
      <c r="J297" t="s">
        <v>4983</v>
      </c>
      <c r="K297" t="s">
        <v>74</v>
      </c>
      <c r="L297" t="s">
        <v>74</v>
      </c>
      <c r="M297" t="s">
        <v>77</v>
      </c>
      <c r="N297" t="s">
        <v>381</v>
      </c>
      <c r="O297" t="s">
        <v>74</v>
      </c>
      <c r="P297" t="s">
        <v>74</v>
      </c>
      <c r="Q297" t="s">
        <v>74</v>
      </c>
      <c r="R297" t="s">
        <v>74</v>
      </c>
      <c r="S297" t="s">
        <v>74</v>
      </c>
      <c r="T297" t="s">
        <v>74</v>
      </c>
      <c r="U297" t="s">
        <v>4998</v>
      </c>
      <c r="V297" t="s">
        <v>74</v>
      </c>
      <c r="W297" t="s">
        <v>4999</v>
      </c>
      <c r="X297" t="s">
        <v>5000</v>
      </c>
      <c r="Y297" t="s">
        <v>5001</v>
      </c>
      <c r="Z297" t="s">
        <v>74</v>
      </c>
      <c r="AA297" t="s">
        <v>5002</v>
      </c>
      <c r="AB297" t="s">
        <v>5003</v>
      </c>
      <c r="AC297" t="s">
        <v>74</v>
      </c>
      <c r="AD297" t="s">
        <v>74</v>
      </c>
      <c r="AE297" t="s">
        <v>74</v>
      </c>
      <c r="AF297" t="s">
        <v>74</v>
      </c>
      <c r="AG297">
        <v>107</v>
      </c>
      <c r="AH297">
        <v>35</v>
      </c>
      <c r="AI297">
        <v>39</v>
      </c>
      <c r="AJ297">
        <v>0</v>
      </c>
      <c r="AK297">
        <v>10</v>
      </c>
      <c r="AL297" t="s">
        <v>4989</v>
      </c>
      <c r="AM297" t="s">
        <v>5004</v>
      </c>
      <c r="AN297" t="s">
        <v>5005</v>
      </c>
      <c r="AO297" t="s">
        <v>74</v>
      </c>
      <c r="AP297" t="s">
        <v>74</v>
      </c>
      <c r="AQ297" t="s">
        <v>5006</v>
      </c>
      <c r="AR297" t="s">
        <v>74</v>
      </c>
      <c r="AS297" t="s">
        <v>74</v>
      </c>
      <c r="AT297" t="s">
        <v>74</v>
      </c>
      <c r="AU297">
        <v>2006</v>
      </c>
      <c r="AV297" t="s">
        <v>74</v>
      </c>
      <c r="AW297" t="s">
        <v>74</v>
      </c>
      <c r="AX297" t="s">
        <v>74</v>
      </c>
      <c r="AY297" t="s">
        <v>74</v>
      </c>
      <c r="AZ297" t="s">
        <v>74</v>
      </c>
      <c r="BA297" t="s">
        <v>74</v>
      </c>
      <c r="BB297">
        <v>344</v>
      </c>
      <c r="BC297">
        <v>359</v>
      </c>
      <c r="BD297" t="s">
        <v>74</v>
      </c>
      <c r="BE297" t="s">
        <v>74</v>
      </c>
      <c r="BF297" t="s">
        <v>74</v>
      </c>
      <c r="BG297" t="s">
        <v>74</v>
      </c>
      <c r="BH297" t="s">
        <v>74</v>
      </c>
      <c r="BI297">
        <v>16</v>
      </c>
      <c r="BJ297" t="s">
        <v>3205</v>
      </c>
      <c r="BK297" t="s">
        <v>609</v>
      </c>
      <c r="BL297" t="s">
        <v>3205</v>
      </c>
      <c r="BM297" t="s">
        <v>4993</v>
      </c>
      <c r="BN297" t="s">
        <v>74</v>
      </c>
      <c r="BO297" t="s">
        <v>74</v>
      </c>
      <c r="BP297" t="s">
        <v>74</v>
      </c>
      <c r="BQ297" t="s">
        <v>74</v>
      </c>
      <c r="BR297" t="s">
        <v>101</v>
      </c>
      <c r="BS297" t="s">
        <v>5007</v>
      </c>
      <c r="BT297" t="str">
        <f>HYPERLINK("https%3A%2F%2Fwww.webofscience.com%2Fwos%2Fwoscc%2Ffull-record%2FWOS:000296087600028","View Full Record in Web of Science")</f>
        <v>View Full Record in Web of Science</v>
      </c>
    </row>
    <row r="298" spans="1:72" x14ac:dyDescent="0.15">
      <c r="A298" t="s">
        <v>72</v>
      </c>
      <c r="B298" t="s">
        <v>5008</v>
      </c>
      <c r="C298" t="s">
        <v>74</v>
      </c>
      <c r="D298" t="s">
        <v>74</v>
      </c>
      <c r="E298" t="s">
        <v>74</v>
      </c>
      <c r="F298" t="s">
        <v>5009</v>
      </c>
      <c r="G298" t="s">
        <v>74</v>
      </c>
      <c r="H298" t="s">
        <v>74</v>
      </c>
      <c r="I298" t="s">
        <v>5010</v>
      </c>
      <c r="J298" t="s">
        <v>5011</v>
      </c>
      <c r="K298" t="s">
        <v>74</v>
      </c>
      <c r="L298" t="s">
        <v>74</v>
      </c>
      <c r="M298" t="s">
        <v>77</v>
      </c>
      <c r="N298" t="s">
        <v>78</v>
      </c>
      <c r="O298" t="s">
        <v>74</v>
      </c>
      <c r="P298" t="s">
        <v>74</v>
      </c>
      <c r="Q298" t="s">
        <v>74</v>
      </c>
      <c r="R298" t="s">
        <v>74</v>
      </c>
      <c r="S298" t="s">
        <v>74</v>
      </c>
      <c r="T298" t="s">
        <v>74</v>
      </c>
      <c r="U298" t="s">
        <v>5012</v>
      </c>
      <c r="V298" t="s">
        <v>5013</v>
      </c>
      <c r="W298" t="s">
        <v>5014</v>
      </c>
      <c r="X298" t="s">
        <v>5015</v>
      </c>
      <c r="Y298" t="s">
        <v>5016</v>
      </c>
      <c r="Z298" t="s">
        <v>74</v>
      </c>
      <c r="AA298" t="s">
        <v>5017</v>
      </c>
      <c r="AB298" t="s">
        <v>74</v>
      </c>
      <c r="AC298" t="s">
        <v>74</v>
      </c>
      <c r="AD298" t="s">
        <v>74</v>
      </c>
      <c r="AE298" t="s">
        <v>74</v>
      </c>
      <c r="AF298" t="s">
        <v>74</v>
      </c>
      <c r="AG298">
        <v>34</v>
      </c>
      <c r="AH298">
        <v>17</v>
      </c>
      <c r="AI298">
        <v>18</v>
      </c>
      <c r="AJ298">
        <v>0</v>
      </c>
      <c r="AK298">
        <v>26</v>
      </c>
      <c r="AL298" t="s">
        <v>1236</v>
      </c>
      <c r="AM298" t="s">
        <v>5018</v>
      </c>
      <c r="AN298" t="s">
        <v>5019</v>
      </c>
      <c r="AO298" t="s">
        <v>5020</v>
      </c>
      <c r="AP298" t="s">
        <v>5021</v>
      </c>
      <c r="AQ298" t="s">
        <v>74</v>
      </c>
      <c r="AR298" t="s">
        <v>5022</v>
      </c>
      <c r="AS298" t="s">
        <v>5023</v>
      </c>
      <c r="AT298" t="s">
        <v>74</v>
      </c>
      <c r="AU298">
        <v>2006</v>
      </c>
      <c r="AV298">
        <v>33</v>
      </c>
      <c r="AW298">
        <v>3</v>
      </c>
      <c r="AX298" t="s">
        <v>74</v>
      </c>
      <c r="AY298" t="s">
        <v>74</v>
      </c>
      <c r="AZ298" t="s">
        <v>74</v>
      </c>
      <c r="BA298" t="s">
        <v>74</v>
      </c>
      <c r="BB298">
        <v>243</v>
      </c>
      <c r="BC298">
        <v>250</v>
      </c>
      <c r="BD298" t="s">
        <v>74</v>
      </c>
      <c r="BE298" t="s">
        <v>5024</v>
      </c>
      <c r="BF298" t="str">
        <f>HYPERLINK("http://dx.doi.org/10.1071/WR05031","http://dx.doi.org/10.1071/WR05031")</f>
        <v>http://dx.doi.org/10.1071/WR05031</v>
      </c>
      <c r="BG298" t="s">
        <v>74</v>
      </c>
      <c r="BH298" t="s">
        <v>74</v>
      </c>
      <c r="BI298">
        <v>8</v>
      </c>
      <c r="BJ298" t="s">
        <v>5025</v>
      </c>
      <c r="BK298" t="s">
        <v>98</v>
      </c>
      <c r="BL298" t="s">
        <v>5026</v>
      </c>
      <c r="BM298" t="s">
        <v>5027</v>
      </c>
      <c r="BN298" t="s">
        <v>74</v>
      </c>
      <c r="BO298" t="s">
        <v>74</v>
      </c>
      <c r="BP298" t="s">
        <v>74</v>
      </c>
      <c r="BQ298" t="s">
        <v>74</v>
      </c>
      <c r="BR298" t="s">
        <v>101</v>
      </c>
      <c r="BS298" t="s">
        <v>5028</v>
      </c>
      <c r="BT298" t="str">
        <f>HYPERLINK("https%3A%2F%2Fwww.webofscience.com%2Fwos%2Fwoscc%2Ffull-record%2FWOS:000238786300011","View Full Record in Web of Science")</f>
        <v>View Full Record in Web of Science</v>
      </c>
    </row>
    <row r="299" spans="1:72" x14ac:dyDescent="0.15">
      <c r="A299" t="s">
        <v>72</v>
      </c>
      <c r="B299" t="s">
        <v>5029</v>
      </c>
      <c r="C299" t="s">
        <v>74</v>
      </c>
      <c r="D299" t="s">
        <v>74</v>
      </c>
      <c r="E299" t="s">
        <v>74</v>
      </c>
      <c r="F299" t="s">
        <v>5029</v>
      </c>
      <c r="G299" t="s">
        <v>74</v>
      </c>
      <c r="H299" t="s">
        <v>74</v>
      </c>
      <c r="I299" t="s">
        <v>5030</v>
      </c>
      <c r="J299" t="s">
        <v>5011</v>
      </c>
      <c r="K299" t="s">
        <v>74</v>
      </c>
      <c r="L299" t="s">
        <v>74</v>
      </c>
      <c r="M299" t="s">
        <v>77</v>
      </c>
      <c r="N299" t="s">
        <v>78</v>
      </c>
      <c r="O299" t="s">
        <v>74</v>
      </c>
      <c r="P299" t="s">
        <v>74</v>
      </c>
      <c r="Q299" t="s">
        <v>74</v>
      </c>
      <c r="R299" t="s">
        <v>74</v>
      </c>
      <c r="S299" t="s">
        <v>74</v>
      </c>
      <c r="T299" t="s">
        <v>74</v>
      </c>
      <c r="U299" t="s">
        <v>5031</v>
      </c>
      <c r="V299" t="s">
        <v>5032</v>
      </c>
      <c r="W299" t="s">
        <v>5033</v>
      </c>
      <c r="X299" t="s">
        <v>5034</v>
      </c>
      <c r="Y299" t="s">
        <v>5035</v>
      </c>
      <c r="Z299" t="s">
        <v>5036</v>
      </c>
      <c r="AA299" t="s">
        <v>5037</v>
      </c>
      <c r="AB299" t="s">
        <v>5038</v>
      </c>
      <c r="AC299" t="s">
        <v>74</v>
      </c>
      <c r="AD299" t="s">
        <v>74</v>
      </c>
      <c r="AE299" t="s">
        <v>74</v>
      </c>
      <c r="AF299" t="s">
        <v>74</v>
      </c>
      <c r="AG299">
        <v>49</v>
      </c>
      <c r="AH299">
        <v>12</v>
      </c>
      <c r="AI299">
        <v>13</v>
      </c>
      <c r="AJ299">
        <v>1</v>
      </c>
      <c r="AK299">
        <v>20</v>
      </c>
      <c r="AL299" t="s">
        <v>1236</v>
      </c>
      <c r="AM299" t="s">
        <v>5018</v>
      </c>
      <c r="AN299" t="s">
        <v>5019</v>
      </c>
      <c r="AO299" t="s">
        <v>5020</v>
      </c>
      <c r="AP299" t="s">
        <v>74</v>
      </c>
      <c r="AQ299" t="s">
        <v>74</v>
      </c>
      <c r="AR299" t="s">
        <v>5022</v>
      </c>
      <c r="AS299" t="s">
        <v>5023</v>
      </c>
      <c r="AT299" t="s">
        <v>74</v>
      </c>
      <c r="AU299">
        <v>2006</v>
      </c>
      <c r="AV299">
        <v>33</v>
      </c>
      <c r="AW299">
        <v>4</v>
      </c>
      <c r="AX299" t="s">
        <v>74</v>
      </c>
      <c r="AY299" t="s">
        <v>74</v>
      </c>
      <c r="AZ299" t="s">
        <v>74</v>
      </c>
      <c r="BA299" t="s">
        <v>74</v>
      </c>
      <c r="BB299">
        <v>275</v>
      </c>
      <c r="BC299">
        <v>291</v>
      </c>
      <c r="BD299" t="s">
        <v>74</v>
      </c>
      <c r="BE299" t="s">
        <v>5039</v>
      </c>
      <c r="BF299" t="str">
        <f>HYPERLINK("http://dx.doi.org/10.1071/WR05001","http://dx.doi.org/10.1071/WR05001")</f>
        <v>http://dx.doi.org/10.1071/WR05001</v>
      </c>
      <c r="BG299" t="s">
        <v>74</v>
      </c>
      <c r="BH299" t="s">
        <v>74</v>
      </c>
      <c r="BI299">
        <v>17</v>
      </c>
      <c r="BJ299" t="s">
        <v>5025</v>
      </c>
      <c r="BK299" t="s">
        <v>98</v>
      </c>
      <c r="BL299" t="s">
        <v>5026</v>
      </c>
      <c r="BM299" t="s">
        <v>5040</v>
      </c>
      <c r="BN299" t="s">
        <v>74</v>
      </c>
      <c r="BO299" t="s">
        <v>5041</v>
      </c>
      <c r="BP299" t="s">
        <v>74</v>
      </c>
      <c r="BQ299" t="s">
        <v>74</v>
      </c>
      <c r="BR299" t="s">
        <v>101</v>
      </c>
      <c r="BS299" t="s">
        <v>5042</v>
      </c>
      <c r="BT299" t="str">
        <f>HYPERLINK("https%3A%2F%2Fwww.webofscience.com%2Fwos%2Fwoscc%2Ffull-record%2FWOS:000238559200003","View Full Record in Web of Science")</f>
        <v>View Full Record in Web of Science</v>
      </c>
    </row>
    <row r="300" spans="1:72" x14ac:dyDescent="0.15">
      <c r="A300" t="s">
        <v>72</v>
      </c>
      <c r="B300" t="s">
        <v>5043</v>
      </c>
      <c r="C300" t="s">
        <v>74</v>
      </c>
      <c r="D300" t="s">
        <v>74</v>
      </c>
      <c r="E300" t="s">
        <v>74</v>
      </c>
      <c r="F300" t="s">
        <v>5043</v>
      </c>
      <c r="G300" t="s">
        <v>74</v>
      </c>
      <c r="H300" t="s">
        <v>74</v>
      </c>
      <c r="I300" t="s">
        <v>5044</v>
      </c>
      <c r="J300" t="s">
        <v>5045</v>
      </c>
      <c r="K300" t="s">
        <v>74</v>
      </c>
      <c r="L300" t="s">
        <v>74</v>
      </c>
      <c r="M300" t="s">
        <v>5046</v>
      </c>
      <c r="N300" t="s">
        <v>289</v>
      </c>
      <c r="O300" t="s">
        <v>74</v>
      </c>
      <c r="P300" t="s">
        <v>74</v>
      </c>
      <c r="Q300" t="s">
        <v>74</v>
      </c>
      <c r="R300" t="s">
        <v>74</v>
      </c>
      <c r="S300" t="s">
        <v>74</v>
      </c>
      <c r="T300" t="s">
        <v>74</v>
      </c>
      <c r="U300" t="s">
        <v>5047</v>
      </c>
      <c r="V300" t="s">
        <v>5048</v>
      </c>
      <c r="W300" t="s">
        <v>5049</v>
      </c>
      <c r="X300" t="s">
        <v>4269</v>
      </c>
      <c r="Y300" t="s">
        <v>5050</v>
      </c>
      <c r="Z300" t="s">
        <v>5051</v>
      </c>
      <c r="AA300" t="s">
        <v>5052</v>
      </c>
      <c r="AB300" t="s">
        <v>74</v>
      </c>
      <c r="AC300" t="s">
        <v>74</v>
      </c>
      <c r="AD300" t="s">
        <v>74</v>
      </c>
      <c r="AE300" t="s">
        <v>74</v>
      </c>
      <c r="AF300" t="s">
        <v>74</v>
      </c>
      <c r="AG300">
        <v>125</v>
      </c>
      <c r="AH300">
        <v>12</v>
      </c>
      <c r="AI300">
        <v>14</v>
      </c>
      <c r="AJ300">
        <v>0</v>
      </c>
      <c r="AK300">
        <v>6</v>
      </c>
      <c r="AL300" t="s">
        <v>5053</v>
      </c>
      <c r="AM300" t="s">
        <v>5054</v>
      </c>
      <c r="AN300" t="s">
        <v>5055</v>
      </c>
      <c r="AO300" t="s">
        <v>5056</v>
      </c>
      <c r="AP300" t="s">
        <v>74</v>
      </c>
      <c r="AQ300" t="s">
        <v>74</v>
      </c>
      <c r="AR300" t="s">
        <v>5057</v>
      </c>
      <c r="AS300" t="s">
        <v>5058</v>
      </c>
      <c r="AT300" t="s">
        <v>95</v>
      </c>
      <c r="AU300">
        <v>2006</v>
      </c>
      <c r="AV300">
        <v>85</v>
      </c>
      <c r="AW300">
        <v>1</v>
      </c>
      <c r="AX300" t="s">
        <v>74</v>
      </c>
      <c r="AY300" t="s">
        <v>74</v>
      </c>
      <c r="AZ300" t="s">
        <v>74</v>
      </c>
      <c r="BA300" t="s">
        <v>74</v>
      </c>
      <c r="BB300">
        <v>3</v>
      </c>
      <c r="BC300">
        <v>17</v>
      </c>
      <c r="BD300" t="s">
        <v>74</v>
      </c>
      <c r="BE300" t="s">
        <v>74</v>
      </c>
      <c r="BF300" t="s">
        <v>74</v>
      </c>
      <c r="BG300" t="s">
        <v>74</v>
      </c>
      <c r="BH300" t="s">
        <v>74</v>
      </c>
      <c r="BI300">
        <v>15</v>
      </c>
      <c r="BJ300" t="s">
        <v>532</v>
      </c>
      <c r="BK300" t="s">
        <v>98</v>
      </c>
      <c r="BL300" t="s">
        <v>532</v>
      </c>
      <c r="BM300" t="s">
        <v>5059</v>
      </c>
      <c r="BN300" t="s">
        <v>74</v>
      </c>
      <c r="BO300" t="s">
        <v>74</v>
      </c>
      <c r="BP300" t="s">
        <v>74</v>
      </c>
      <c r="BQ300" t="s">
        <v>74</v>
      </c>
      <c r="BR300" t="s">
        <v>101</v>
      </c>
      <c r="BS300" t="s">
        <v>5060</v>
      </c>
      <c r="BT300" t="str">
        <f>HYPERLINK("https%3A%2F%2Fwww.webofscience.com%2Fwos%2Fwoscc%2Ffull-record%2FWOS:000236574300001","View Full Record in Web of Science")</f>
        <v>View Full Record in Web of Science</v>
      </c>
    </row>
    <row r="301" spans="1:72" x14ac:dyDescent="0.15">
      <c r="A301" t="s">
        <v>72</v>
      </c>
      <c r="B301" t="s">
        <v>5061</v>
      </c>
      <c r="C301" t="s">
        <v>74</v>
      </c>
      <c r="D301" t="s">
        <v>74</v>
      </c>
      <c r="E301" t="s">
        <v>74</v>
      </c>
      <c r="F301" t="s">
        <v>5061</v>
      </c>
      <c r="G301" t="s">
        <v>74</v>
      </c>
      <c r="H301" t="s">
        <v>74</v>
      </c>
      <c r="I301" t="s">
        <v>5062</v>
      </c>
      <c r="J301" t="s">
        <v>5063</v>
      </c>
      <c r="K301" t="s">
        <v>74</v>
      </c>
      <c r="L301" t="s">
        <v>74</v>
      </c>
      <c r="M301" t="s">
        <v>77</v>
      </c>
      <c r="N301" t="s">
        <v>78</v>
      </c>
      <c r="O301" t="s">
        <v>74</v>
      </c>
      <c r="P301" t="s">
        <v>74</v>
      </c>
      <c r="Q301" t="s">
        <v>74</v>
      </c>
      <c r="R301" t="s">
        <v>74</v>
      </c>
      <c r="S301" t="s">
        <v>74</v>
      </c>
      <c r="T301" t="s">
        <v>74</v>
      </c>
      <c r="U301" t="s">
        <v>5064</v>
      </c>
      <c r="V301" t="s">
        <v>5065</v>
      </c>
      <c r="W301" t="s">
        <v>5066</v>
      </c>
      <c r="X301" t="s">
        <v>5067</v>
      </c>
      <c r="Y301" t="s">
        <v>5068</v>
      </c>
      <c r="Z301" t="s">
        <v>5069</v>
      </c>
      <c r="AA301" t="s">
        <v>5070</v>
      </c>
      <c r="AB301" t="s">
        <v>5071</v>
      </c>
      <c r="AC301" t="s">
        <v>74</v>
      </c>
      <c r="AD301" t="s">
        <v>74</v>
      </c>
      <c r="AE301" t="s">
        <v>74</v>
      </c>
      <c r="AF301" t="s">
        <v>74</v>
      </c>
      <c r="AG301">
        <v>76</v>
      </c>
      <c r="AH301">
        <v>22</v>
      </c>
      <c r="AI301">
        <v>23</v>
      </c>
      <c r="AJ301">
        <v>1</v>
      </c>
      <c r="AK301">
        <v>14</v>
      </c>
      <c r="AL301" t="s">
        <v>4487</v>
      </c>
      <c r="AM301" t="s">
        <v>2541</v>
      </c>
      <c r="AN301" t="s">
        <v>4488</v>
      </c>
      <c r="AO301" t="s">
        <v>5072</v>
      </c>
      <c r="AP301" t="s">
        <v>5073</v>
      </c>
      <c r="AQ301" t="s">
        <v>74</v>
      </c>
      <c r="AR301" t="s">
        <v>5074</v>
      </c>
      <c r="AS301" t="s">
        <v>5075</v>
      </c>
      <c r="AT301" t="s">
        <v>5076</v>
      </c>
      <c r="AU301">
        <v>2005</v>
      </c>
      <c r="AV301">
        <v>110</v>
      </c>
      <c r="AW301" t="s">
        <v>5077</v>
      </c>
      <c r="AX301" t="s">
        <v>74</v>
      </c>
      <c r="AY301" t="s">
        <v>74</v>
      </c>
      <c r="AZ301" t="s">
        <v>74</v>
      </c>
      <c r="BA301" t="s">
        <v>74</v>
      </c>
      <c r="BB301" t="s">
        <v>74</v>
      </c>
      <c r="BC301" t="s">
        <v>74</v>
      </c>
      <c r="BD301" t="s">
        <v>5078</v>
      </c>
      <c r="BE301" t="s">
        <v>5079</v>
      </c>
      <c r="BF301" t="str">
        <f>HYPERLINK("http://dx.doi.org/10.1029/2005JD006418","http://dx.doi.org/10.1029/2005JD006418")</f>
        <v>http://dx.doi.org/10.1029/2005JD006418</v>
      </c>
      <c r="BG301" t="s">
        <v>74</v>
      </c>
      <c r="BH301" t="s">
        <v>74</v>
      </c>
      <c r="BI301">
        <v>17</v>
      </c>
      <c r="BJ301" t="s">
        <v>2033</v>
      </c>
      <c r="BK301" t="s">
        <v>98</v>
      </c>
      <c r="BL301" t="s">
        <v>2033</v>
      </c>
      <c r="BM301" t="s">
        <v>5080</v>
      </c>
      <c r="BN301" t="s">
        <v>74</v>
      </c>
      <c r="BO301" t="s">
        <v>2656</v>
      </c>
      <c r="BP301" t="s">
        <v>74</v>
      </c>
      <c r="BQ301" t="s">
        <v>74</v>
      </c>
      <c r="BR301" t="s">
        <v>101</v>
      </c>
      <c r="BS301" t="s">
        <v>5081</v>
      </c>
      <c r="BT301" t="str">
        <f>HYPERLINK("https%3A%2F%2Fwww.webofscience.com%2Fwos%2Fwoscc%2Ffull-record%2FWOS:000234506600001","View Full Record in Web of Science")</f>
        <v>View Full Record in Web of Science</v>
      </c>
    </row>
    <row r="302" spans="1:72" x14ac:dyDescent="0.15">
      <c r="A302" t="s">
        <v>72</v>
      </c>
      <c r="B302" t="s">
        <v>5082</v>
      </c>
      <c r="C302" t="s">
        <v>74</v>
      </c>
      <c r="D302" t="s">
        <v>74</v>
      </c>
      <c r="E302" t="s">
        <v>74</v>
      </c>
      <c r="F302" t="s">
        <v>5082</v>
      </c>
      <c r="G302" t="s">
        <v>74</v>
      </c>
      <c r="H302" t="s">
        <v>74</v>
      </c>
      <c r="I302" t="s">
        <v>5083</v>
      </c>
      <c r="J302" t="s">
        <v>5063</v>
      </c>
      <c r="K302" t="s">
        <v>74</v>
      </c>
      <c r="L302" t="s">
        <v>74</v>
      </c>
      <c r="M302" t="s">
        <v>77</v>
      </c>
      <c r="N302" t="s">
        <v>78</v>
      </c>
      <c r="O302" t="s">
        <v>74</v>
      </c>
      <c r="P302" t="s">
        <v>74</v>
      </c>
      <c r="Q302" t="s">
        <v>74</v>
      </c>
      <c r="R302" t="s">
        <v>74</v>
      </c>
      <c r="S302" t="s">
        <v>74</v>
      </c>
      <c r="T302" t="s">
        <v>74</v>
      </c>
      <c r="U302" t="s">
        <v>5084</v>
      </c>
      <c r="V302" t="s">
        <v>5085</v>
      </c>
      <c r="W302" t="s">
        <v>5086</v>
      </c>
      <c r="X302" t="s">
        <v>5087</v>
      </c>
      <c r="Y302" t="s">
        <v>5088</v>
      </c>
      <c r="Z302" t="s">
        <v>5089</v>
      </c>
      <c r="AA302" t="s">
        <v>5090</v>
      </c>
      <c r="AB302" t="s">
        <v>5091</v>
      </c>
      <c r="AC302" t="s">
        <v>74</v>
      </c>
      <c r="AD302" t="s">
        <v>74</v>
      </c>
      <c r="AE302" t="s">
        <v>74</v>
      </c>
      <c r="AF302" t="s">
        <v>74</v>
      </c>
      <c r="AG302">
        <v>41</v>
      </c>
      <c r="AH302">
        <v>111</v>
      </c>
      <c r="AI302">
        <v>119</v>
      </c>
      <c r="AJ302">
        <v>1</v>
      </c>
      <c r="AK302">
        <v>14</v>
      </c>
      <c r="AL302" t="s">
        <v>4487</v>
      </c>
      <c r="AM302" t="s">
        <v>2541</v>
      </c>
      <c r="AN302" t="s">
        <v>4488</v>
      </c>
      <c r="AO302" t="s">
        <v>5072</v>
      </c>
      <c r="AP302" t="s">
        <v>5073</v>
      </c>
      <c r="AQ302" t="s">
        <v>74</v>
      </c>
      <c r="AR302" t="s">
        <v>5074</v>
      </c>
      <c r="AS302" t="s">
        <v>5075</v>
      </c>
      <c r="AT302" t="s">
        <v>5092</v>
      </c>
      <c r="AU302">
        <v>2005</v>
      </c>
      <c r="AV302">
        <v>110</v>
      </c>
      <c r="AW302" t="s">
        <v>5077</v>
      </c>
      <c r="AX302" t="s">
        <v>74</v>
      </c>
      <c r="AY302" t="s">
        <v>74</v>
      </c>
      <c r="AZ302" t="s">
        <v>74</v>
      </c>
      <c r="BA302" t="s">
        <v>74</v>
      </c>
      <c r="BB302" t="s">
        <v>74</v>
      </c>
      <c r="BC302" t="s">
        <v>74</v>
      </c>
      <c r="BD302" t="s">
        <v>5093</v>
      </c>
      <c r="BE302" t="s">
        <v>5094</v>
      </c>
      <c r="BF302" t="str">
        <f>HYPERLINK("http://dx.doi.org/10.1029/2005JD006463","http://dx.doi.org/10.1029/2005JD006463")</f>
        <v>http://dx.doi.org/10.1029/2005JD006463</v>
      </c>
      <c r="BG302" t="s">
        <v>74</v>
      </c>
      <c r="BH302" t="s">
        <v>74</v>
      </c>
      <c r="BI302">
        <v>17</v>
      </c>
      <c r="BJ302" t="s">
        <v>2033</v>
      </c>
      <c r="BK302" t="s">
        <v>98</v>
      </c>
      <c r="BL302" t="s">
        <v>2033</v>
      </c>
      <c r="BM302" t="s">
        <v>5095</v>
      </c>
      <c r="BN302" t="s">
        <v>74</v>
      </c>
      <c r="BO302" t="s">
        <v>1900</v>
      </c>
      <c r="BP302" t="s">
        <v>74</v>
      </c>
      <c r="BQ302" t="s">
        <v>74</v>
      </c>
      <c r="BR302" t="s">
        <v>101</v>
      </c>
      <c r="BS302" t="s">
        <v>5096</v>
      </c>
      <c r="BT302" t="str">
        <f>HYPERLINK("https%3A%2F%2Fwww.webofscience.com%2Fwos%2Fwoscc%2Ffull-record%2FWOS:000234506400003","View Full Record in Web of Science")</f>
        <v>View Full Record in Web of Science</v>
      </c>
    </row>
    <row r="303" spans="1:72" x14ac:dyDescent="0.15">
      <c r="A303" t="s">
        <v>72</v>
      </c>
      <c r="B303" t="s">
        <v>5097</v>
      </c>
      <c r="C303" t="s">
        <v>74</v>
      </c>
      <c r="D303" t="s">
        <v>74</v>
      </c>
      <c r="E303" t="s">
        <v>74</v>
      </c>
      <c r="F303" t="s">
        <v>5097</v>
      </c>
      <c r="G303" t="s">
        <v>74</v>
      </c>
      <c r="H303" t="s">
        <v>74</v>
      </c>
      <c r="I303" t="s">
        <v>5098</v>
      </c>
      <c r="J303" t="s">
        <v>5063</v>
      </c>
      <c r="K303" t="s">
        <v>74</v>
      </c>
      <c r="L303" t="s">
        <v>74</v>
      </c>
      <c r="M303" t="s">
        <v>77</v>
      </c>
      <c r="N303" t="s">
        <v>78</v>
      </c>
      <c r="O303" t="s">
        <v>74</v>
      </c>
      <c r="P303" t="s">
        <v>74</v>
      </c>
      <c r="Q303" t="s">
        <v>74</v>
      </c>
      <c r="R303" t="s">
        <v>74</v>
      </c>
      <c r="S303" t="s">
        <v>74</v>
      </c>
      <c r="T303" t="s">
        <v>74</v>
      </c>
      <c r="U303" t="s">
        <v>5099</v>
      </c>
      <c r="V303" t="s">
        <v>5100</v>
      </c>
      <c r="W303" t="s">
        <v>5101</v>
      </c>
      <c r="X303" t="s">
        <v>5102</v>
      </c>
      <c r="Y303" t="s">
        <v>5103</v>
      </c>
      <c r="Z303" t="s">
        <v>5104</v>
      </c>
      <c r="AA303" t="s">
        <v>5105</v>
      </c>
      <c r="AB303" t="s">
        <v>5106</v>
      </c>
      <c r="AC303" t="s">
        <v>74</v>
      </c>
      <c r="AD303" t="s">
        <v>74</v>
      </c>
      <c r="AE303" t="s">
        <v>74</v>
      </c>
      <c r="AF303" t="s">
        <v>74</v>
      </c>
      <c r="AG303">
        <v>70</v>
      </c>
      <c r="AH303">
        <v>50</v>
      </c>
      <c r="AI303">
        <v>54</v>
      </c>
      <c r="AJ303">
        <v>0</v>
      </c>
      <c r="AK303">
        <v>14</v>
      </c>
      <c r="AL303" t="s">
        <v>4487</v>
      </c>
      <c r="AM303" t="s">
        <v>2541</v>
      </c>
      <c r="AN303" t="s">
        <v>4488</v>
      </c>
      <c r="AO303" t="s">
        <v>5072</v>
      </c>
      <c r="AP303" t="s">
        <v>5073</v>
      </c>
      <c r="AQ303" t="s">
        <v>74</v>
      </c>
      <c r="AR303" t="s">
        <v>5074</v>
      </c>
      <c r="AS303" t="s">
        <v>5075</v>
      </c>
      <c r="AT303" t="s">
        <v>5092</v>
      </c>
      <c r="AU303">
        <v>2005</v>
      </c>
      <c r="AV303">
        <v>110</v>
      </c>
      <c r="AW303" t="s">
        <v>5077</v>
      </c>
      <c r="AX303" t="s">
        <v>74</v>
      </c>
      <c r="AY303" t="s">
        <v>74</v>
      </c>
      <c r="AZ303" t="s">
        <v>74</v>
      </c>
      <c r="BA303" t="s">
        <v>74</v>
      </c>
      <c r="BB303" t="s">
        <v>74</v>
      </c>
      <c r="BC303" t="s">
        <v>74</v>
      </c>
      <c r="BD303" t="s">
        <v>5107</v>
      </c>
      <c r="BE303" t="s">
        <v>5108</v>
      </c>
      <c r="BF303" t="str">
        <f>HYPERLINK("http://dx.doi.org/10.1029/2005JD005973","http://dx.doi.org/10.1029/2005JD005973")</f>
        <v>http://dx.doi.org/10.1029/2005JD005973</v>
      </c>
      <c r="BG303" t="s">
        <v>74</v>
      </c>
      <c r="BH303" t="s">
        <v>74</v>
      </c>
      <c r="BI303">
        <v>14</v>
      </c>
      <c r="BJ303" t="s">
        <v>2033</v>
      </c>
      <c r="BK303" t="s">
        <v>98</v>
      </c>
      <c r="BL303" t="s">
        <v>2033</v>
      </c>
      <c r="BM303" t="s">
        <v>5095</v>
      </c>
      <c r="BN303" t="s">
        <v>74</v>
      </c>
      <c r="BO303" t="s">
        <v>1900</v>
      </c>
      <c r="BP303" t="s">
        <v>74</v>
      </c>
      <c r="BQ303" t="s">
        <v>74</v>
      </c>
      <c r="BR303" t="s">
        <v>101</v>
      </c>
      <c r="BS303" t="s">
        <v>5109</v>
      </c>
      <c r="BT303" t="str">
        <f>HYPERLINK("https%3A%2F%2Fwww.webofscience.com%2Fwos%2Fwoscc%2Ffull-record%2FWOS:000234506400002","View Full Record in Web of Science")</f>
        <v>View Full Record in Web of Science</v>
      </c>
    </row>
    <row r="304" spans="1:72" x14ac:dyDescent="0.15">
      <c r="A304" t="s">
        <v>72</v>
      </c>
      <c r="B304" t="s">
        <v>5110</v>
      </c>
      <c r="C304" t="s">
        <v>74</v>
      </c>
      <c r="D304" t="s">
        <v>74</v>
      </c>
      <c r="E304" t="s">
        <v>74</v>
      </c>
      <c r="F304" t="s">
        <v>5110</v>
      </c>
      <c r="G304" t="s">
        <v>74</v>
      </c>
      <c r="H304" t="s">
        <v>74</v>
      </c>
      <c r="I304" t="s">
        <v>5111</v>
      </c>
      <c r="J304" t="s">
        <v>5112</v>
      </c>
      <c r="K304" t="s">
        <v>74</v>
      </c>
      <c r="L304" t="s">
        <v>74</v>
      </c>
      <c r="M304" t="s">
        <v>77</v>
      </c>
      <c r="N304" t="s">
        <v>78</v>
      </c>
      <c r="O304" t="s">
        <v>74</v>
      </c>
      <c r="P304" t="s">
        <v>74</v>
      </c>
      <c r="Q304" t="s">
        <v>74</v>
      </c>
      <c r="R304" t="s">
        <v>74</v>
      </c>
      <c r="S304" t="s">
        <v>74</v>
      </c>
      <c r="T304" t="s">
        <v>74</v>
      </c>
      <c r="U304" t="s">
        <v>5113</v>
      </c>
      <c r="V304" t="s">
        <v>5114</v>
      </c>
      <c r="W304" t="s">
        <v>5115</v>
      </c>
      <c r="X304" t="s">
        <v>5116</v>
      </c>
      <c r="Y304" t="s">
        <v>5117</v>
      </c>
      <c r="Z304" t="s">
        <v>5118</v>
      </c>
      <c r="AA304" t="s">
        <v>5119</v>
      </c>
      <c r="AB304" t="s">
        <v>5120</v>
      </c>
      <c r="AC304" t="s">
        <v>74</v>
      </c>
      <c r="AD304" t="s">
        <v>74</v>
      </c>
      <c r="AE304" t="s">
        <v>74</v>
      </c>
      <c r="AF304" t="s">
        <v>74</v>
      </c>
      <c r="AG304">
        <v>59</v>
      </c>
      <c r="AH304">
        <v>19</v>
      </c>
      <c r="AI304">
        <v>19</v>
      </c>
      <c r="AJ304">
        <v>0</v>
      </c>
      <c r="AK304">
        <v>11</v>
      </c>
      <c r="AL304" t="s">
        <v>4487</v>
      </c>
      <c r="AM304" t="s">
        <v>2541</v>
      </c>
      <c r="AN304" t="s">
        <v>4488</v>
      </c>
      <c r="AO304" t="s">
        <v>5121</v>
      </c>
      <c r="AP304" t="s">
        <v>5122</v>
      </c>
      <c r="AQ304" t="s">
        <v>74</v>
      </c>
      <c r="AR304" t="s">
        <v>5123</v>
      </c>
      <c r="AS304" t="s">
        <v>5124</v>
      </c>
      <c r="AT304" t="s">
        <v>5125</v>
      </c>
      <c r="AU304">
        <v>2005</v>
      </c>
      <c r="AV304">
        <v>19</v>
      </c>
      <c r="AW304">
        <v>4</v>
      </c>
      <c r="AX304" t="s">
        <v>74</v>
      </c>
      <c r="AY304" t="s">
        <v>74</v>
      </c>
      <c r="AZ304" t="s">
        <v>74</v>
      </c>
      <c r="BA304" t="s">
        <v>74</v>
      </c>
      <c r="BB304" t="s">
        <v>74</v>
      </c>
      <c r="BC304" t="s">
        <v>74</v>
      </c>
      <c r="BD304" t="s">
        <v>5126</v>
      </c>
      <c r="BE304" t="s">
        <v>5127</v>
      </c>
      <c r="BF304" t="str">
        <f>HYPERLINK("http://dx.doi.org/10.1029/2005GB002476","http://dx.doi.org/10.1029/2005GB002476")</f>
        <v>http://dx.doi.org/10.1029/2005GB002476</v>
      </c>
      <c r="BG304" t="s">
        <v>74</v>
      </c>
      <c r="BH304" t="s">
        <v>74</v>
      </c>
      <c r="BI304">
        <v>10</v>
      </c>
      <c r="BJ304" t="s">
        <v>5128</v>
      </c>
      <c r="BK304" t="s">
        <v>98</v>
      </c>
      <c r="BL304" t="s">
        <v>5129</v>
      </c>
      <c r="BM304" t="s">
        <v>5130</v>
      </c>
      <c r="BN304" t="s">
        <v>74</v>
      </c>
      <c r="BO304" t="s">
        <v>722</v>
      </c>
      <c r="BP304" t="s">
        <v>74</v>
      </c>
      <c r="BQ304" t="s">
        <v>74</v>
      </c>
      <c r="BR304" t="s">
        <v>101</v>
      </c>
      <c r="BS304" t="s">
        <v>5131</v>
      </c>
      <c r="BT304" t="str">
        <f>HYPERLINK("https%3A%2F%2Fwww.webofscience.com%2Fwos%2Fwoscc%2Ffull-record%2FWOS:000234364800001","View Full Record in Web of Science")</f>
        <v>View Full Record in Web of Science</v>
      </c>
    </row>
    <row r="305" spans="1:72" x14ac:dyDescent="0.15">
      <c r="A305" t="s">
        <v>72</v>
      </c>
      <c r="B305" t="s">
        <v>5132</v>
      </c>
      <c r="C305" t="s">
        <v>74</v>
      </c>
      <c r="D305" t="s">
        <v>74</v>
      </c>
      <c r="E305" t="s">
        <v>74</v>
      </c>
      <c r="F305" t="s">
        <v>5132</v>
      </c>
      <c r="G305" t="s">
        <v>74</v>
      </c>
      <c r="H305" t="s">
        <v>74</v>
      </c>
      <c r="I305" t="s">
        <v>5133</v>
      </c>
      <c r="J305" t="s">
        <v>5134</v>
      </c>
      <c r="K305" t="s">
        <v>74</v>
      </c>
      <c r="L305" t="s">
        <v>74</v>
      </c>
      <c r="M305" t="s">
        <v>77</v>
      </c>
      <c r="N305" t="s">
        <v>78</v>
      </c>
      <c r="O305" t="s">
        <v>74</v>
      </c>
      <c r="P305" t="s">
        <v>74</v>
      </c>
      <c r="Q305" t="s">
        <v>74</v>
      </c>
      <c r="R305" t="s">
        <v>74</v>
      </c>
      <c r="S305" t="s">
        <v>74</v>
      </c>
      <c r="T305" t="s">
        <v>74</v>
      </c>
      <c r="U305" t="s">
        <v>5135</v>
      </c>
      <c r="V305" t="s">
        <v>5136</v>
      </c>
      <c r="W305" t="s">
        <v>5137</v>
      </c>
      <c r="X305" t="s">
        <v>5138</v>
      </c>
      <c r="Y305" t="s">
        <v>5139</v>
      </c>
      <c r="Z305" t="s">
        <v>5140</v>
      </c>
      <c r="AA305" t="s">
        <v>74</v>
      </c>
      <c r="AB305" t="s">
        <v>5141</v>
      </c>
      <c r="AC305" t="s">
        <v>74</v>
      </c>
      <c r="AD305" t="s">
        <v>74</v>
      </c>
      <c r="AE305" t="s">
        <v>74</v>
      </c>
      <c r="AF305" t="s">
        <v>74</v>
      </c>
      <c r="AG305">
        <v>18</v>
      </c>
      <c r="AH305">
        <v>14</v>
      </c>
      <c r="AI305">
        <v>15</v>
      </c>
      <c r="AJ305">
        <v>0</v>
      </c>
      <c r="AK305">
        <v>6</v>
      </c>
      <c r="AL305" t="s">
        <v>4487</v>
      </c>
      <c r="AM305" t="s">
        <v>2541</v>
      </c>
      <c r="AN305" t="s">
        <v>4488</v>
      </c>
      <c r="AO305" t="s">
        <v>5142</v>
      </c>
      <c r="AP305" t="s">
        <v>5143</v>
      </c>
      <c r="AQ305" t="s">
        <v>74</v>
      </c>
      <c r="AR305" t="s">
        <v>5144</v>
      </c>
      <c r="AS305" t="s">
        <v>5145</v>
      </c>
      <c r="AT305" t="s">
        <v>5146</v>
      </c>
      <c r="AU305">
        <v>2005</v>
      </c>
      <c r="AV305">
        <v>32</v>
      </c>
      <c r="AW305">
        <v>24</v>
      </c>
      <c r="AX305" t="s">
        <v>74</v>
      </c>
      <c r="AY305" t="s">
        <v>74</v>
      </c>
      <c r="AZ305" t="s">
        <v>74</v>
      </c>
      <c r="BA305" t="s">
        <v>74</v>
      </c>
      <c r="BB305" t="s">
        <v>74</v>
      </c>
      <c r="BC305" t="s">
        <v>74</v>
      </c>
      <c r="BD305" t="s">
        <v>5147</v>
      </c>
      <c r="BE305" t="s">
        <v>5148</v>
      </c>
      <c r="BF305" t="str">
        <f>HYPERLINK("http://dx.doi.org/10.1029/2005GL024568","http://dx.doi.org/10.1029/2005GL024568")</f>
        <v>http://dx.doi.org/10.1029/2005GL024568</v>
      </c>
      <c r="BG305" t="s">
        <v>74</v>
      </c>
      <c r="BH305" t="s">
        <v>74</v>
      </c>
      <c r="BI305">
        <v>4</v>
      </c>
      <c r="BJ305" t="s">
        <v>1129</v>
      </c>
      <c r="BK305" t="s">
        <v>98</v>
      </c>
      <c r="BL305" t="s">
        <v>1130</v>
      </c>
      <c r="BM305" t="s">
        <v>5149</v>
      </c>
      <c r="BN305" t="s">
        <v>74</v>
      </c>
      <c r="BO305" t="s">
        <v>1900</v>
      </c>
      <c r="BP305" t="s">
        <v>74</v>
      </c>
      <c r="BQ305" t="s">
        <v>74</v>
      </c>
      <c r="BR305" t="s">
        <v>101</v>
      </c>
      <c r="BS305" t="s">
        <v>5150</v>
      </c>
      <c r="BT305" t="str">
        <f>HYPERLINK("https%3A%2F%2Fwww.webofscience.com%2Fwos%2Fwoscc%2Ffull-record%2FWOS:000234364300007","View Full Record in Web of Science")</f>
        <v>View Full Record in Web of Science</v>
      </c>
    </row>
    <row r="306" spans="1:72" x14ac:dyDescent="0.15">
      <c r="A306" t="s">
        <v>72</v>
      </c>
      <c r="B306" t="s">
        <v>5151</v>
      </c>
      <c r="C306" t="s">
        <v>74</v>
      </c>
      <c r="D306" t="s">
        <v>74</v>
      </c>
      <c r="E306" t="s">
        <v>74</v>
      </c>
      <c r="F306" t="s">
        <v>5151</v>
      </c>
      <c r="G306" t="s">
        <v>74</v>
      </c>
      <c r="H306" t="s">
        <v>74</v>
      </c>
      <c r="I306" t="s">
        <v>5152</v>
      </c>
      <c r="J306" t="s">
        <v>5153</v>
      </c>
      <c r="K306" t="s">
        <v>74</v>
      </c>
      <c r="L306" t="s">
        <v>74</v>
      </c>
      <c r="M306" t="s">
        <v>77</v>
      </c>
      <c r="N306" t="s">
        <v>78</v>
      </c>
      <c r="O306" t="s">
        <v>74</v>
      </c>
      <c r="P306" t="s">
        <v>74</v>
      </c>
      <c r="Q306" t="s">
        <v>74</v>
      </c>
      <c r="R306" t="s">
        <v>74</v>
      </c>
      <c r="S306" t="s">
        <v>74</v>
      </c>
      <c r="T306" t="s">
        <v>5154</v>
      </c>
      <c r="U306" t="s">
        <v>5155</v>
      </c>
      <c r="V306" t="s">
        <v>5156</v>
      </c>
      <c r="W306" t="s">
        <v>5157</v>
      </c>
      <c r="X306" t="s">
        <v>5158</v>
      </c>
      <c r="Y306" t="s">
        <v>5159</v>
      </c>
      <c r="Z306" t="s">
        <v>5160</v>
      </c>
      <c r="AA306" t="s">
        <v>5161</v>
      </c>
      <c r="AB306" t="s">
        <v>5162</v>
      </c>
      <c r="AC306" t="s">
        <v>74</v>
      </c>
      <c r="AD306" t="s">
        <v>74</v>
      </c>
      <c r="AE306" t="s">
        <v>74</v>
      </c>
      <c r="AF306" t="s">
        <v>74</v>
      </c>
      <c r="AG306">
        <v>19</v>
      </c>
      <c r="AH306">
        <v>17</v>
      </c>
      <c r="AI306">
        <v>19</v>
      </c>
      <c r="AJ306">
        <v>1</v>
      </c>
      <c r="AK306">
        <v>2</v>
      </c>
      <c r="AL306" t="s">
        <v>5163</v>
      </c>
      <c r="AM306" t="s">
        <v>1055</v>
      </c>
      <c r="AN306" t="s">
        <v>5164</v>
      </c>
      <c r="AO306" t="s">
        <v>5165</v>
      </c>
      <c r="AP306" t="s">
        <v>74</v>
      </c>
      <c r="AQ306" t="s">
        <v>74</v>
      </c>
      <c r="AR306" t="s">
        <v>5166</v>
      </c>
      <c r="AS306" t="s">
        <v>5167</v>
      </c>
      <c r="AT306" t="s">
        <v>5168</v>
      </c>
      <c r="AU306">
        <v>2005</v>
      </c>
      <c r="AV306">
        <v>1</v>
      </c>
      <c r="AW306">
        <v>4</v>
      </c>
      <c r="AX306" t="s">
        <v>74</v>
      </c>
      <c r="AY306" t="s">
        <v>74</v>
      </c>
      <c r="AZ306" t="s">
        <v>74</v>
      </c>
      <c r="BA306" t="s">
        <v>74</v>
      </c>
      <c r="BB306">
        <v>484</v>
      </c>
      <c r="BC306">
        <v>487</v>
      </c>
      <c r="BD306" t="s">
        <v>74</v>
      </c>
      <c r="BE306" t="s">
        <v>5169</v>
      </c>
      <c r="BF306" t="str">
        <f>HYPERLINK("http://dx.doi.org/10.1098/rsbl.2005.0365","http://dx.doi.org/10.1098/rsbl.2005.0365")</f>
        <v>http://dx.doi.org/10.1098/rsbl.2005.0365</v>
      </c>
      <c r="BG306" t="s">
        <v>74</v>
      </c>
      <c r="BH306" t="s">
        <v>74</v>
      </c>
      <c r="BI306">
        <v>4</v>
      </c>
      <c r="BJ306" t="s">
        <v>5170</v>
      </c>
      <c r="BK306" t="s">
        <v>98</v>
      </c>
      <c r="BL306" t="s">
        <v>5171</v>
      </c>
      <c r="BM306" t="s">
        <v>5172</v>
      </c>
      <c r="BN306">
        <v>17148239</v>
      </c>
      <c r="BO306" t="s">
        <v>722</v>
      </c>
      <c r="BP306" t="s">
        <v>74</v>
      </c>
      <c r="BQ306" t="s">
        <v>74</v>
      </c>
      <c r="BR306" t="s">
        <v>101</v>
      </c>
      <c r="BS306" t="s">
        <v>5173</v>
      </c>
      <c r="BT306" t="str">
        <f>HYPERLINK("https%3A%2F%2Fwww.webofscience.com%2Fwos%2Fwoscc%2Ffull-record%2FWOS:000233911600028","View Full Record in Web of Science")</f>
        <v>View Full Record in Web of Science</v>
      </c>
    </row>
    <row r="307" spans="1:72" x14ac:dyDescent="0.15">
      <c r="A307" t="s">
        <v>72</v>
      </c>
      <c r="B307" t="s">
        <v>5174</v>
      </c>
      <c r="C307" t="s">
        <v>74</v>
      </c>
      <c r="D307" t="s">
        <v>74</v>
      </c>
      <c r="E307" t="s">
        <v>74</v>
      </c>
      <c r="F307" t="s">
        <v>5174</v>
      </c>
      <c r="G307" t="s">
        <v>74</v>
      </c>
      <c r="H307" t="s">
        <v>74</v>
      </c>
      <c r="I307" t="s">
        <v>5175</v>
      </c>
      <c r="J307" t="s">
        <v>5176</v>
      </c>
      <c r="K307" t="s">
        <v>74</v>
      </c>
      <c r="L307" t="s">
        <v>74</v>
      </c>
      <c r="M307" t="s">
        <v>77</v>
      </c>
      <c r="N307" t="s">
        <v>78</v>
      </c>
      <c r="O307" t="s">
        <v>74</v>
      </c>
      <c r="P307" t="s">
        <v>74</v>
      </c>
      <c r="Q307" t="s">
        <v>74</v>
      </c>
      <c r="R307" t="s">
        <v>74</v>
      </c>
      <c r="S307" t="s">
        <v>74</v>
      </c>
      <c r="T307" t="s">
        <v>74</v>
      </c>
      <c r="U307" t="s">
        <v>5177</v>
      </c>
      <c r="V307" t="s">
        <v>5178</v>
      </c>
      <c r="W307" t="s">
        <v>5179</v>
      </c>
      <c r="X307" t="s">
        <v>5180</v>
      </c>
      <c r="Y307" t="s">
        <v>5181</v>
      </c>
      <c r="Z307" t="s">
        <v>74</v>
      </c>
      <c r="AA307" t="s">
        <v>74</v>
      </c>
      <c r="AB307" t="s">
        <v>74</v>
      </c>
      <c r="AC307" t="s">
        <v>74</v>
      </c>
      <c r="AD307" t="s">
        <v>74</v>
      </c>
      <c r="AE307" t="s">
        <v>74</v>
      </c>
      <c r="AF307" t="s">
        <v>74</v>
      </c>
      <c r="AG307">
        <v>43</v>
      </c>
      <c r="AH307">
        <v>19</v>
      </c>
      <c r="AI307">
        <v>19</v>
      </c>
      <c r="AJ307">
        <v>0</v>
      </c>
      <c r="AK307">
        <v>14</v>
      </c>
      <c r="AL307" t="s">
        <v>2110</v>
      </c>
      <c r="AM307" t="s">
        <v>2111</v>
      </c>
      <c r="AN307" t="s">
        <v>2112</v>
      </c>
      <c r="AO307" t="s">
        <v>5182</v>
      </c>
      <c r="AP307" t="s">
        <v>74</v>
      </c>
      <c r="AQ307" t="s">
        <v>74</v>
      </c>
      <c r="AR307" t="s">
        <v>5183</v>
      </c>
      <c r="AS307" t="s">
        <v>5184</v>
      </c>
      <c r="AT307" t="s">
        <v>5185</v>
      </c>
      <c r="AU307">
        <v>2005</v>
      </c>
      <c r="AV307">
        <v>7</v>
      </c>
      <c r="AW307">
        <v>24</v>
      </c>
      <c r="AX307" t="s">
        <v>74</v>
      </c>
      <c r="AY307" t="s">
        <v>74</v>
      </c>
      <c r="AZ307" t="s">
        <v>74</v>
      </c>
      <c r="BA307" t="s">
        <v>74</v>
      </c>
      <c r="BB307">
        <v>4102</v>
      </c>
      <c r="BC307">
        <v>4113</v>
      </c>
      <c r="BD307" t="s">
        <v>74</v>
      </c>
      <c r="BE307" t="s">
        <v>5186</v>
      </c>
      <c r="BF307" t="str">
        <f>HYPERLINK("http://dx.doi.org/10.1039/b510308h","http://dx.doi.org/10.1039/b510308h")</f>
        <v>http://dx.doi.org/10.1039/b510308h</v>
      </c>
      <c r="BG307" t="s">
        <v>74</v>
      </c>
      <c r="BH307" t="s">
        <v>74</v>
      </c>
      <c r="BI307">
        <v>12</v>
      </c>
      <c r="BJ307" t="s">
        <v>5187</v>
      </c>
      <c r="BK307" t="s">
        <v>98</v>
      </c>
      <c r="BL307" t="s">
        <v>5188</v>
      </c>
      <c r="BM307" t="s">
        <v>5189</v>
      </c>
      <c r="BN307">
        <v>16474875</v>
      </c>
      <c r="BO307" t="s">
        <v>74</v>
      </c>
      <c r="BP307" t="s">
        <v>74</v>
      </c>
      <c r="BQ307" t="s">
        <v>74</v>
      </c>
      <c r="BR307" t="s">
        <v>101</v>
      </c>
      <c r="BS307" t="s">
        <v>5190</v>
      </c>
      <c r="BT307" t="str">
        <f>HYPERLINK("https%3A%2F%2Fwww.webofscience.com%2Fwos%2Fwoscc%2Ffull-record%2FWOS:000234254200019","View Full Record in Web of Science")</f>
        <v>View Full Record in Web of Science</v>
      </c>
    </row>
    <row r="308" spans="1:72" x14ac:dyDescent="0.15">
      <c r="A308" t="s">
        <v>72</v>
      </c>
      <c r="B308" t="s">
        <v>5191</v>
      </c>
      <c r="C308" t="s">
        <v>74</v>
      </c>
      <c r="D308" t="s">
        <v>74</v>
      </c>
      <c r="E308" t="s">
        <v>74</v>
      </c>
      <c r="F308" t="s">
        <v>5191</v>
      </c>
      <c r="G308" t="s">
        <v>74</v>
      </c>
      <c r="H308" t="s">
        <v>74</v>
      </c>
      <c r="I308" t="s">
        <v>5192</v>
      </c>
      <c r="J308" t="s">
        <v>5193</v>
      </c>
      <c r="K308" t="s">
        <v>74</v>
      </c>
      <c r="L308" t="s">
        <v>74</v>
      </c>
      <c r="M308" t="s">
        <v>77</v>
      </c>
      <c r="N308" t="s">
        <v>78</v>
      </c>
      <c r="O308" t="s">
        <v>74</v>
      </c>
      <c r="P308" t="s">
        <v>74</v>
      </c>
      <c r="Q308" t="s">
        <v>74</v>
      </c>
      <c r="R308" t="s">
        <v>74</v>
      </c>
      <c r="S308" t="s">
        <v>74</v>
      </c>
      <c r="T308" t="s">
        <v>74</v>
      </c>
      <c r="U308" t="s">
        <v>74</v>
      </c>
      <c r="V308" t="s">
        <v>5194</v>
      </c>
      <c r="W308" t="s">
        <v>5195</v>
      </c>
      <c r="X308" t="s">
        <v>5196</v>
      </c>
      <c r="Y308" t="s">
        <v>5197</v>
      </c>
      <c r="Z308" t="s">
        <v>5198</v>
      </c>
      <c r="AA308" t="s">
        <v>5199</v>
      </c>
      <c r="AB308" t="s">
        <v>5200</v>
      </c>
      <c r="AC308" t="s">
        <v>74</v>
      </c>
      <c r="AD308" t="s">
        <v>74</v>
      </c>
      <c r="AE308" t="s">
        <v>74</v>
      </c>
      <c r="AF308" t="s">
        <v>74</v>
      </c>
      <c r="AG308">
        <v>6</v>
      </c>
      <c r="AH308">
        <v>2</v>
      </c>
      <c r="AI308">
        <v>2</v>
      </c>
      <c r="AJ308">
        <v>0</v>
      </c>
      <c r="AK308">
        <v>2</v>
      </c>
      <c r="AL308" t="s">
        <v>5201</v>
      </c>
      <c r="AM308" t="s">
        <v>2517</v>
      </c>
      <c r="AN308" t="s">
        <v>2518</v>
      </c>
      <c r="AO308" t="s">
        <v>5202</v>
      </c>
      <c r="AP308" t="s">
        <v>5203</v>
      </c>
      <c r="AQ308" t="s">
        <v>74</v>
      </c>
      <c r="AR308" t="s">
        <v>5204</v>
      </c>
      <c r="AS308" t="s">
        <v>5205</v>
      </c>
      <c r="AT308" t="s">
        <v>5185</v>
      </c>
      <c r="AU308">
        <v>2005</v>
      </c>
      <c r="AV308">
        <v>118</v>
      </c>
      <c r="AW308">
        <v>4</v>
      </c>
      <c r="AX308" t="s">
        <v>74</v>
      </c>
      <c r="AY308" t="s">
        <v>74</v>
      </c>
      <c r="AZ308" t="s">
        <v>74</v>
      </c>
      <c r="BA308" t="s">
        <v>74</v>
      </c>
      <c r="BB308">
        <v>649</v>
      </c>
      <c r="BC308">
        <v>659</v>
      </c>
      <c r="BD308" t="s">
        <v>74</v>
      </c>
      <c r="BE308" t="s">
        <v>5206</v>
      </c>
      <c r="BF308" t="str">
        <f>HYPERLINK("http://dx.doi.org/10.2988/0006-324X(2005)118[649:OOCMPF]2.0.CO;2","http://dx.doi.org/10.2988/0006-324X(2005)118[649:OOCMPF]2.0.CO;2")</f>
        <v>http://dx.doi.org/10.2988/0006-324X(2005)118[649:OOCMPF]2.0.CO;2</v>
      </c>
      <c r="BG308" t="s">
        <v>74</v>
      </c>
      <c r="BH308" t="s">
        <v>74</v>
      </c>
      <c r="BI308">
        <v>11</v>
      </c>
      <c r="BJ308" t="s">
        <v>5207</v>
      </c>
      <c r="BK308" t="s">
        <v>98</v>
      </c>
      <c r="BL308" t="s">
        <v>5208</v>
      </c>
      <c r="BM308" t="s">
        <v>5209</v>
      </c>
      <c r="BN308" t="s">
        <v>74</v>
      </c>
      <c r="BO308" t="s">
        <v>74</v>
      </c>
      <c r="BP308" t="s">
        <v>74</v>
      </c>
      <c r="BQ308" t="s">
        <v>74</v>
      </c>
      <c r="BR308" t="s">
        <v>101</v>
      </c>
      <c r="BS308" t="s">
        <v>5210</v>
      </c>
      <c r="BT308" t="str">
        <f>HYPERLINK("https%3A%2F%2Fwww.webofscience.com%2Fwos%2Fwoscc%2Ffull-record%2FWOS:000234307500001","View Full Record in Web of Science")</f>
        <v>View Full Record in Web of Science</v>
      </c>
    </row>
    <row r="309" spans="1:72" x14ac:dyDescent="0.15">
      <c r="A309" t="s">
        <v>72</v>
      </c>
      <c r="B309" t="s">
        <v>5191</v>
      </c>
      <c r="C309" t="s">
        <v>74</v>
      </c>
      <c r="D309" t="s">
        <v>74</v>
      </c>
      <c r="E309" t="s">
        <v>74</v>
      </c>
      <c r="F309" t="s">
        <v>5191</v>
      </c>
      <c r="G309" t="s">
        <v>74</v>
      </c>
      <c r="H309" t="s">
        <v>74</v>
      </c>
      <c r="I309" t="s">
        <v>5211</v>
      </c>
      <c r="J309" t="s">
        <v>5193</v>
      </c>
      <c r="K309" t="s">
        <v>74</v>
      </c>
      <c r="L309" t="s">
        <v>74</v>
      </c>
      <c r="M309" t="s">
        <v>77</v>
      </c>
      <c r="N309" t="s">
        <v>78</v>
      </c>
      <c r="O309" t="s">
        <v>74</v>
      </c>
      <c r="P309" t="s">
        <v>74</v>
      </c>
      <c r="Q309" t="s">
        <v>74</v>
      </c>
      <c r="R309" t="s">
        <v>74</v>
      </c>
      <c r="S309" t="s">
        <v>74</v>
      </c>
      <c r="T309" t="s">
        <v>74</v>
      </c>
      <c r="U309" t="s">
        <v>5212</v>
      </c>
      <c r="V309" t="s">
        <v>5213</v>
      </c>
      <c r="W309" t="s">
        <v>5214</v>
      </c>
      <c r="X309" t="s">
        <v>5196</v>
      </c>
      <c r="Y309" t="s">
        <v>5215</v>
      </c>
      <c r="Z309" t="s">
        <v>5198</v>
      </c>
      <c r="AA309" t="s">
        <v>5199</v>
      </c>
      <c r="AB309" t="s">
        <v>74</v>
      </c>
      <c r="AC309" t="s">
        <v>74</v>
      </c>
      <c r="AD309" t="s">
        <v>74</v>
      </c>
      <c r="AE309" t="s">
        <v>74</v>
      </c>
      <c r="AF309" t="s">
        <v>74</v>
      </c>
      <c r="AG309">
        <v>17</v>
      </c>
      <c r="AH309">
        <v>2</v>
      </c>
      <c r="AI309">
        <v>2</v>
      </c>
      <c r="AJ309">
        <v>0</v>
      </c>
      <c r="AK309">
        <v>2</v>
      </c>
      <c r="AL309" t="s">
        <v>5201</v>
      </c>
      <c r="AM309" t="s">
        <v>2517</v>
      </c>
      <c r="AN309" t="s">
        <v>2518</v>
      </c>
      <c r="AO309" t="s">
        <v>5202</v>
      </c>
      <c r="AP309" t="s">
        <v>5203</v>
      </c>
      <c r="AQ309" t="s">
        <v>74</v>
      </c>
      <c r="AR309" t="s">
        <v>5204</v>
      </c>
      <c r="AS309" t="s">
        <v>5205</v>
      </c>
      <c r="AT309" t="s">
        <v>5185</v>
      </c>
      <c r="AU309">
        <v>2005</v>
      </c>
      <c r="AV309">
        <v>118</v>
      </c>
      <c r="AW309">
        <v>4</v>
      </c>
      <c r="AX309" t="s">
        <v>74</v>
      </c>
      <c r="AY309" t="s">
        <v>74</v>
      </c>
      <c r="AZ309" t="s">
        <v>74</v>
      </c>
      <c r="BA309" t="s">
        <v>74</v>
      </c>
      <c r="BB309">
        <v>660</v>
      </c>
      <c r="BC309">
        <v>673</v>
      </c>
      <c r="BD309" t="s">
        <v>74</v>
      </c>
      <c r="BE309" t="s">
        <v>5216</v>
      </c>
      <c r="BF309" t="str">
        <f>HYPERLINK("http://dx.doi.org/10.2988/0006-324X(2005)118[660:OOCMPF]2.0.CO;2","http://dx.doi.org/10.2988/0006-324X(2005)118[660:OOCMPF]2.0.CO;2")</f>
        <v>http://dx.doi.org/10.2988/0006-324X(2005)118[660:OOCMPF]2.0.CO;2</v>
      </c>
      <c r="BG309" t="s">
        <v>74</v>
      </c>
      <c r="BH309" t="s">
        <v>74</v>
      </c>
      <c r="BI309">
        <v>14</v>
      </c>
      <c r="BJ309" t="s">
        <v>5207</v>
      </c>
      <c r="BK309" t="s">
        <v>98</v>
      </c>
      <c r="BL309" t="s">
        <v>5208</v>
      </c>
      <c r="BM309" t="s">
        <v>5209</v>
      </c>
      <c r="BN309" t="s">
        <v>74</v>
      </c>
      <c r="BO309" t="s">
        <v>74</v>
      </c>
      <c r="BP309" t="s">
        <v>74</v>
      </c>
      <c r="BQ309" t="s">
        <v>74</v>
      </c>
      <c r="BR309" t="s">
        <v>101</v>
      </c>
      <c r="BS309" t="s">
        <v>5217</v>
      </c>
      <c r="BT309" t="str">
        <f>HYPERLINK("https%3A%2F%2Fwww.webofscience.com%2Fwos%2Fwoscc%2Ffull-record%2FWOS:000234307500002","View Full Record in Web of Science")</f>
        <v>View Full Record in Web of Science</v>
      </c>
    </row>
    <row r="310" spans="1:72" x14ac:dyDescent="0.15">
      <c r="A310" t="s">
        <v>72</v>
      </c>
      <c r="B310" t="s">
        <v>5218</v>
      </c>
      <c r="C310" t="s">
        <v>74</v>
      </c>
      <c r="D310" t="s">
        <v>74</v>
      </c>
      <c r="E310" t="s">
        <v>74</v>
      </c>
      <c r="F310" t="s">
        <v>5218</v>
      </c>
      <c r="G310" t="s">
        <v>74</v>
      </c>
      <c r="H310" t="s">
        <v>74</v>
      </c>
      <c r="I310" t="s">
        <v>5219</v>
      </c>
      <c r="J310" t="s">
        <v>5134</v>
      </c>
      <c r="K310" t="s">
        <v>74</v>
      </c>
      <c r="L310" t="s">
        <v>74</v>
      </c>
      <c r="M310" t="s">
        <v>77</v>
      </c>
      <c r="N310" t="s">
        <v>78</v>
      </c>
      <c r="O310" t="s">
        <v>74</v>
      </c>
      <c r="P310" t="s">
        <v>74</v>
      </c>
      <c r="Q310" t="s">
        <v>74</v>
      </c>
      <c r="R310" t="s">
        <v>74</v>
      </c>
      <c r="S310" t="s">
        <v>74</v>
      </c>
      <c r="T310" t="s">
        <v>74</v>
      </c>
      <c r="U310" t="s">
        <v>5220</v>
      </c>
      <c r="V310" t="s">
        <v>5221</v>
      </c>
      <c r="W310" t="s">
        <v>5222</v>
      </c>
      <c r="X310" t="s">
        <v>5223</v>
      </c>
      <c r="Y310" t="s">
        <v>5224</v>
      </c>
      <c r="Z310" t="s">
        <v>5225</v>
      </c>
      <c r="AA310" t="s">
        <v>5226</v>
      </c>
      <c r="AB310" t="s">
        <v>74</v>
      </c>
      <c r="AC310" t="s">
        <v>74</v>
      </c>
      <c r="AD310" t="s">
        <v>74</v>
      </c>
      <c r="AE310" t="s">
        <v>74</v>
      </c>
      <c r="AF310" t="s">
        <v>74</v>
      </c>
      <c r="AG310">
        <v>15</v>
      </c>
      <c r="AH310">
        <v>73</v>
      </c>
      <c r="AI310">
        <v>108</v>
      </c>
      <c r="AJ310">
        <v>2</v>
      </c>
      <c r="AK310">
        <v>30</v>
      </c>
      <c r="AL310" t="s">
        <v>4487</v>
      </c>
      <c r="AM310" t="s">
        <v>2541</v>
      </c>
      <c r="AN310" t="s">
        <v>4488</v>
      </c>
      <c r="AO310" t="s">
        <v>5142</v>
      </c>
      <c r="AP310" t="s">
        <v>5143</v>
      </c>
      <c r="AQ310" t="s">
        <v>74</v>
      </c>
      <c r="AR310" t="s">
        <v>5144</v>
      </c>
      <c r="AS310" t="s">
        <v>5145</v>
      </c>
      <c r="AT310" t="s">
        <v>5227</v>
      </c>
      <c r="AU310">
        <v>2005</v>
      </c>
      <c r="AV310">
        <v>32</v>
      </c>
      <c r="AW310">
        <v>24</v>
      </c>
      <c r="AX310" t="s">
        <v>74</v>
      </c>
      <c r="AY310" t="s">
        <v>74</v>
      </c>
      <c r="AZ310" t="s">
        <v>74</v>
      </c>
      <c r="BA310" t="s">
        <v>74</v>
      </c>
      <c r="BB310" t="s">
        <v>74</v>
      </c>
      <c r="BC310" t="s">
        <v>74</v>
      </c>
      <c r="BD310" t="s">
        <v>5228</v>
      </c>
      <c r="BE310" t="s">
        <v>5229</v>
      </c>
      <c r="BF310" t="str">
        <f>HYPERLINK("http://dx.doi.org/10.1029/2005GL024562","http://dx.doi.org/10.1029/2005GL024562")</f>
        <v>http://dx.doi.org/10.1029/2005GL024562</v>
      </c>
      <c r="BG310" t="s">
        <v>74</v>
      </c>
      <c r="BH310" t="s">
        <v>74</v>
      </c>
      <c r="BI310">
        <v>4</v>
      </c>
      <c r="BJ310" t="s">
        <v>1129</v>
      </c>
      <c r="BK310" t="s">
        <v>98</v>
      </c>
      <c r="BL310" t="s">
        <v>1130</v>
      </c>
      <c r="BM310" t="s">
        <v>5230</v>
      </c>
      <c r="BN310" t="s">
        <v>74</v>
      </c>
      <c r="BO310" t="s">
        <v>74</v>
      </c>
      <c r="BP310" t="s">
        <v>74</v>
      </c>
      <c r="BQ310" t="s">
        <v>74</v>
      </c>
      <c r="BR310" t="s">
        <v>101</v>
      </c>
      <c r="BS310" t="s">
        <v>5231</v>
      </c>
      <c r="BT310" t="str">
        <f>HYPERLINK("https%3A%2F%2Fwww.webofscience.com%2Fwos%2Fwoscc%2Ffull-record%2FWOS:000234363400007","View Full Record in Web of Science")</f>
        <v>View Full Record in Web of Science</v>
      </c>
    </row>
    <row r="311" spans="1:72" x14ac:dyDescent="0.15">
      <c r="A311" t="s">
        <v>72</v>
      </c>
      <c r="B311" t="s">
        <v>5232</v>
      </c>
      <c r="C311" t="s">
        <v>74</v>
      </c>
      <c r="D311" t="s">
        <v>74</v>
      </c>
      <c r="E311" t="s">
        <v>74</v>
      </c>
      <c r="F311" t="s">
        <v>5232</v>
      </c>
      <c r="G311" t="s">
        <v>74</v>
      </c>
      <c r="H311" t="s">
        <v>74</v>
      </c>
      <c r="I311" t="s">
        <v>5233</v>
      </c>
      <c r="J311" t="s">
        <v>5234</v>
      </c>
      <c r="K311" t="s">
        <v>74</v>
      </c>
      <c r="L311" t="s">
        <v>74</v>
      </c>
      <c r="M311" t="s">
        <v>77</v>
      </c>
      <c r="N311" t="s">
        <v>78</v>
      </c>
      <c r="O311" t="s">
        <v>74</v>
      </c>
      <c r="P311" t="s">
        <v>74</v>
      </c>
      <c r="Q311" t="s">
        <v>74</v>
      </c>
      <c r="R311" t="s">
        <v>74</v>
      </c>
      <c r="S311" t="s">
        <v>74</v>
      </c>
      <c r="T311" t="s">
        <v>74</v>
      </c>
      <c r="U311" t="s">
        <v>5235</v>
      </c>
      <c r="V311" t="s">
        <v>5236</v>
      </c>
      <c r="W311" t="s">
        <v>5237</v>
      </c>
      <c r="X311" t="s">
        <v>5238</v>
      </c>
      <c r="Y311" t="s">
        <v>5239</v>
      </c>
      <c r="Z311" t="s">
        <v>5240</v>
      </c>
      <c r="AA311" t="s">
        <v>74</v>
      </c>
      <c r="AB311" t="s">
        <v>74</v>
      </c>
      <c r="AC311" t="s">
        <v>74</v>
      </c>
      <c r="AD311" t="s">
        <v>74</v>
      </c>
      <c r="AE311" t="s">
        <v>74</v>
      </c>
      <c r="AF311" t="s">
        <v>74</v>
      </c>
      <c r="AG311">
        <v>30</v>
      </c>
      <c r="AH311">
        <v>0</v>
      </c>
      <c r="AI311">
        <v>0</v>
      </c>
      <c r="AJ311">
        <v>1</v>
      </c>
      <c r="AK311">
        <v>5</v>
      </c>
      <c r="AL311" t="s">
        <v>348</v>
      </c>
      <c r="AM311" t="s">
        <v>349</v>
      </c>
      <c r="AN311" t="s">
        <v>1523</v>
      </c>
      <c r="AO311" t="s">
        <v>5241</v>
      </c>
      <c r="AP311" t="s">
        <v>5242</v>
      </c>
      <c r="AQ311" t="s">
        <v>74</v>
      </c>
      <c r="AR311" t="s">
        <v>5243</v>
      </c>
      <c r="AS311" t="s">
        <v>5244</v>
      </c>
      <c r="AT311" t="s">
        <v>5227</v>
      </c>
      <c r="AU311">
        <v>2005</v>
      </c>
      <c r="AV311">
        <v>26</v>
      </c>
      <c r="AW311">
        <v>24</v>
      </c>
      <c r="AX311" t="s">
        <v>74</v>
      </c>
      <c r="AY311" t="s">
        <v>74</v>
      </c>
      <c r="AZ311" t="s">
        <v>74</v>
      </c>
      <c r="BA311" t="s">
        <v>74</v>
      </c>
      <c r="BB311">
        <v>5419</v>
      </c>
      <c r="BC311">
        <v>5431</v>
      </c>
      <c r="BD311" t="s">
        <v>74</v>
      </c>
      <c r="BE311" t="s">
        <v>5245</v>
      </c>
      <c r="BF311" t="str">
        <f>HYPERLINK("http://dx.doi.org/10.1080/01431160500285688","http://dx.doi.org/10.1080/01431160500285688")</f>
        <v>http://dx.doi.org/10.1080/01431160500285688</v>
      </c>
      <c r="BG311" t="s">
        <v>74</v>
      </c>
      <c r="BH311" t="s">
        <v>74</v>
      </c>
      <c r="BI311">
        <v>13</v>
      </c>
      <c r="BJ311" t="s">
        <v>5246</v>
      </c>
      <c r="BK311" t="s">
        <v>98</v>
      </c>
      <c r="BL311" t="s">
        <v>5246</v>
      </c>
      <c r="BM311" t="s">
        <v>5247</v>
      </c>
      <c r="BN311" t="s">
        <v>74</v>
      </c>
      <c r="BO311" t="s">
        <v>74</v>
      </c>
      <c r="BP311" t="s">
        <v>74</v>
      </c>
      <c r="BQ311" t="s">
        <v>74</v>
      </c>
      <c r="BR311" t="s">
        <v>101</v>
      </c>
      <c r="BS311" t="s">
        <v>5248</v>
      </c>
      <c r="BT311" t="str">
        <f>HYPERLINK("https%3A%2F%2Fwww.webofscience.com%2Fwos%2Fwoscc%2Ffull-record%2FWOS:000234653800004","View Full Record in Web of Science")</f>
        <v>View Full Record in Web of Science</v>
      </c>
    </row>
    <row r="312" spans="1:72" x14ac:dyDescent="0.15">
      <c r="A312" t="s">
        <v>72</v>
      </c>
      <c r="B312" t="s">
        <v>5249</v>
      </c>
      <c r="C312" t="s">
        <v>74</v>
      </c>
      <c r="D312" t="s">
        <v>74</v>
      </c>
      <c r="E312" t="s">
        <v>74</v>
      </c>
      <c r="F312" t="s">
        <v>5249</v>
      </c>
      <c r="G312" t="s">
        <v>74</v>
      </c>
      <c r="H312" t="s">
        <v>74</v>
      </c>
      <c r="I312" t="s">
        <v>5250</v>
      </c>
      <c r="J312" t="s">
        <v>5251</v>
      </c>
      <c r="K312" t="s">
        <v>74</v>
      </c>
      <c r="L312" t="s">
        <v>74</v>
      </c>
      <c r="M312" t="s">
        <v>77</v>
      </c>
      <c r="N312" t="s">
        <v>78</v>
      </c>
      <c r="O312" t="s">
        <v>74</v>
      </c>
      <c r="P312" t="s">
        <v>74</v>
      </c>
      <c r="Q312" t="s">
        <v>74</v>
      </c>
      <c r="R312" t="s">
        <v>74</v>
      </c>
      <c r="S312" t="s">
        <v>74</v>
      </c>
      <c r="T312" t="s">
        <v>74</v>
      </c>
      <c r="U312" t="s">
        <v>5252</v>
      </c>
      <c r="V312" t="s">
        <v>5253</v>
      </c>
      <c r="W312" t="s">
        <v>5254</v>
      </c>
      <c r="X312" t="s">
        <v>5255</v>
      </c>
      <c r="Y312" t="s">
        <v>5256</v>
      </c>
      <c r="Z312" t="s">
        <v>5257</v>
      </c>
      <c r="AA312" t="s">
        <v>5258</v>
      </c>
      <c r="AB312" t="s">
        <v>5259</v>
      </c>
      <c r="AC312" t="s">
        <v>74</v>
      </c>
      <c r="AD312" t="s">
        <v>74</v>
      </c>
      <c r="AE312" t="s">
        <v>74</v>
      </c>
      <c r="AF312" t="s">
        <v>74</v>
      </c>
      <c r="AG312">
        <v>71</v>
      </c>
      <c r="AH312">
        <v>49</v>
      </c>
      <c r="AI312">
        <v>49</v>
      </c>
      <c r="AJ312">
        <v>2</v>
      </c>
      <c r="AK312">
        <v>18</v>
      </c>
      <c r="AL312" t="s">
        <v>4487</v>
      </c>
      <c r="AM312" t="s">
        <v>2541</v>
      </c>
      <c r="AN312" t="s">
        <v>4488</v>
      </c>
      <c r="AO312" t="s">
        <v>5260</v>
      </c>
      <c r="AP312" t="s">
        <v>5261</v>
      </c>
      <c r="AQ312" t="s">
        <v>74</v>
      </c>
      <c r="AR312" t="s">
        <v>5262</v>
      </c>
      <c r="AS312" t="s">
        <v>5263</v>
      </c>
      <c r="AT312" t="s">
        <v>5227</v>
      </c>
      <c r="AU312">
        <v>2005</v>
      </c>
      <c r="AV312">
        <v>110</v>
      </c>
      <c r="AW312" t="s">
        <v>5264</v>
      </c>
      <c r="AX312" t="s">
        <v>74</v>
      </c>
      <c r="AY312" t="s">
        <v>74</v>
      </c>
      <c r="AZ312" t="s">
        <v>74</v>
      </c>
      <c r="BA312" t="s">
        <v>74</v>
      </c>
      <c r="BB312" t="s">
        <v>74</v>
      </c>
      <c r="BC312" t="s">
        <v>74</v>
      </c>
      <c r="BD312" t="s">
        <v>5265</v>
      </c>
      <c r="BE312" t="s">
        <v>5266</v>
      </c>
      <c r="BF312" t="str">
        <f>HYPERLINK("http://dx.doi.org/10.1029/2005JC003032","http://dx.doi.org/10.1029/2005JC003032")</f>
        <v>http://dx.doi.org/10.1029/2005JC003032</v>
      </c>
      <c r="BG312" t="s">
        <v>74</v>
      </c>
      <c r="BH312" t="s">
        <v>74</v>
      </c>
      <c r="BI312">
        <v>16</v>
      </c>
      <c r="BJ312" t="s">
        <v>629</v>
      </c>
      <c r="BK312" t="s">
        <v>98</v>
      </c>
      <c r="BL312" t="s">
        <v>629</v>
      </c>
      <c r="BM312" t="s">
        <v>5267</v>
      </c>
      <c r="BN312" t="s">
        <v>74</v>
      </c>
      <c r="BO312" t="s">
        <v>5268</v>
      </c>
      <c r="BP312" t="s">
        <v>74</v>
      </c>
      <c r="BQ312" t="s">
        <v>74</v>
      </c>
      <c r="BR312" t="s">
        <v>101</v>
      </c>
      <c r="BS312" t="s">
        <v>5269</v>
      </c>
      <c r="BT312" t="str">
        <f>HYPERLINK("https%3A%2F%2Fwww.webofscience.com%2Fwos%2Fwoscc%2Ffull-record%2FWOS:000234366300005","View Full Record in Web of Science")</f>
        <v>View Full Record in Web of Science</v>
      </c>
    </row>
    <row r="313" spans="1:72" x14ac:dyDescent="0.15">
      <c r="A313" t="s">
        <v>72</v>
      </c>
      <c r="B313" t="s">
        <v>5270</v>
      </c>
      <c r="C313" t="s">
        <v>74</v>
      </c>
      <c r="D313" t="s">
        <v>74</v>
      </c>
      <c r="E313" t="s">
        <v>74</v>
      </c>
      <c r="F313" t="s">
        <v>5270</v>
      </c>
      <c r="G313" t="s">
        <v>74</v>
      </c>
      <c r="H313" t="s">
        <v>74</v>
      </c>
      <c r="I313" t="s">
        <v>5271</v>
      </c>
      <c r="J313" t="s">
        <v>5272</v>
      </c>
      <c r="K313" t="s">
        <v>74</v>
      </c>
      <c r="L313" t="s">
        <v>74</v>
      </c>
      <c r="M313" t="s">
        <v>77</v>
      </c>
      <c r="N313" t="s">
        <v>78</v>
      </c>
      <c r="O313" t="s">
        <v>74</v>
      </c>
      <c r="P313" t="s">
        <v>74</v>
      </c>
      <c r="Q313" t="s">
        <v>74</v>
      </c>
      <c r="R313" t="s">
        <v>74</v>
      </c>
      <c r="S313" t="s">
        <v>74</v>
      </c>
      <c r="T313" t="s">
        <v>5273</v>
      </c>
      <c r="U313" t="s">
        <v>5274</v>
      </c>
      <c r="V313" t="s">
        <v>5275</v>
      </c>
      <c r="W313" t="s">
        <v>5276</v>
      </c>
      <c r="X313" t="s">
        <v>5277</v>
      </c>
      <c r="Y313" t="s">
        <v>5278</v>
      </c>
      <c r="Z313" t="s">
        <v>5279</v>
      </c>
      <c r="AA313" t="s">
        <v>74</v>
      </c>
      <c r="AB313" t="s">
        <v>74</v>
      </c>
      <c r="AC313" t="s">
        <v>74</v>
      </c>
      <c r="AD313" t="s">
        <v>74</v>
      </c>
      <c r="AE313" t="s">
        <v>74</v>
      </c>
      <c r="AF313" t="s">
        <v>74</v>
      </c>
      <c r="AG313">
        <v>43</v>
      </c>
      <c r="AH313">
        <v>11</v>
      </c>
      <c r="AI313">
        <v>14</v>
      </c>
      <c r="AJ313">
        <v>0</v>
      </c>
      <c r="AK313">
        <v>1</v>
      </c>
      <c r="AL313" t="s">
        <v>3283</v>
      </c>
      <c r="AM313" t="s">
        <v>1148</v>
      </c>
      <c r="AN313" t="s">
        <v>3284</v>
      </c>
      <c r="AO313" t="s">
        <v>5280</v>
      </c>
      <c r="AP313" t="s">
        <v>5281</v>
      </c>
      <c r="AQ313" t="s">
        <v>74</v>
      </c>
      <c r="AR313" t="s">
        <v>5282</v>
      </c>
      <c r="AS313" t="s">
        <v>5283</v>
      </c>
      <c r="AT313" t="s">
        <v>5227</v>
      </c>
      <c r="AU313">
        <v>2005</v>
      </c>
      <c r="AV313">
        <v>58</v>
      </c>
      <c r="AW313">
        <v>1</v>
      </c>
      <c r="AX313" t="s">
        <v>74</v>
      </c>
      <c r="AY313" t="s">
        <v>74</v>
      </c>
      <c r="AZ313" t="s">
        <v>74</v>
      </c>
      <c r="BA313" t="s">
        <v>74</v>
      </c>
      <c r="BB313">
        <v>56</v>
      </c>
      <c r="BC313">
        <v>72</v>
      </c>
      <c r="BD313" t="s">
        <v>74</v>
      </c>
      <c r="BE313" t="s">
        <v>5284</v>
      </c>
      <c r="BF313" t="str">
        <f>HYPERLINK("http://dx.doi.org/10.1016/j.marmicro.2005.09.003","http://dx.doi.org/10.1016/j.marmicro.2005.09.003")</f>
        <v>http://dx.doi.org/10.1016/j.marmicro.2005.09.003</v>
      </c>
      <c r="BG313" t="s">
        <v>74</v>
      </c>
      <c r="BH313" t="s">
        <v>74</v>
      </c>
      <c r="BI313">
        <v>17</v>
      </c>
      <c r="BJ313" t="s">
        <v>487</v>
      </c>
      <c r="BK313" t="s">
        <v>98</v>
      </c>
      <c r="BL313" t="s">
        <v>487</v>
      </c>
      <c r="BM313" t="s">
        <v>5285</v>
      </c>
      <c r="BN313" t="s">
        <v>74</v>
      </c>
      <c r="BO313" t="s">
        <v>74</v>
      </c>
      <c r="BP313" t="s">
        <v>74</v>
      </c>
      <c r="BQ313" t="s">
        <v>74</v>
      </c>
      <c r="BR313" t="s">
        <v>101</v>
      </c>
      <c r="BS313" t="s">
        <v>5286</v>
      </c>
      <c r="BT313" t="str">
        <f>HYPERLINK("https%3A%2F%2Fwww.webofscience.com%2Fwos%2Fwoscc%2Ffull-record%2FWOS:000234369800005","View Full Record in Web of Science")</f>
        <v>View Full Record in Web of Science</v>
      </c>
    </row>
    <row r="314" spans="1:72" x14ac:dyDescent="0.15">
      <c r="A314" t="s">
        <v>72</v>
      </c>
      <c r="B314" t="s">
        <v>5287</v>
      </c>
      <c r="C314" t="s">
        <v>74</v>
      </c>
      <c r="D314" t="s">
        <v>74</v>
      </c>
      <c r="E314" t="s">
        <v>74</v>
      </c>
      <c r="F314" t="s">
        <v>5287</v>
      </c>
      <c r="G314" t="s">
        <v>74</v>
      </c>
      <c r="H314" t="s">
        <v>74</v>
      </c>
      <c r="I314" t="s">
        <v>5288</v>
      </c>
      <c r="J314" t="s">
        <v>5134</v>
      </c>
      <c r="K314" t="s">
        <v>74</v>
      </c>
      <c r="L314" t="s">
        <v>74</v>
      </c>
      <c r="M314" t="s">
        <v>77</v>
      </c>
      <c r="N314" t="s">
        <v>78</v>
      </c>
      <c r="O314" t="s">
        <v>74</v>
      </c>
      <c r="P314" t="s">
        <v>74</v>
      </c>
      <c r="Q314" t="s">
        <v>74</v>
      </c>
      <c r="R314" t="s">
        <v>74</v>
      </c>
      <c r="S314" t="s">
        <v>74</v>
      </c>
      <c r="T314" t="s">
        <v>74</v>
      </c>
      <c r="U314" t="s">
        <v>5289</v>
      </c>
      <c r="V314" t="s">
        <v>5290</v>
      </c>
      <c r="W314" t="s">
        <v>5291</v>
      </c>
      <c r="X314" t="s">
        <v>5292</v>
      </c>
      <c r="Y314" t="s">
        <v>5293</v>
      </c>
      <c r="Z314" t="s">
        <v>5294</v>
      </c>
      <c r="AA314" t="s">
        <v>5295</v>
      </c>
      <c r="AB314" t="s">
        <v>5296</v>
      </c>
      <c r="AC314" t="s">
        <v>74</v>
      </c>
      <c r="AD314" t="s">
        <v>74</v>
      </c>
      <c r="AE314" t="s">
        <v>74</v>
      </c>
      <c r="AF314" t="s">
        <v>74</v>
      </c>
      <c r="AG314">
        <v>30</v>
      </c>
      <c r="AH314">
        <v>63</v>
      </c>
      <c r="AI314">
        <v>66</v>
      </c>
      <c r="AJ314">
        <v>1</v>
      </c>
      <c r="AK314">
        <v>24</v>
      </c>
      <c r="AL314" t="s">
        <v>4487</v>
      </c>
      <c r="AM314" t="s">
        <v>2541</v>
      </c>
      <c r="AN314" t="s">
        <v>4488</v>
      </c>
      <c r="AO314" t="s">
        <v>5142</v>
      </c>
      <c r="AP314" t="s">
        <v>5143</v>
      </c>
      <c r="AQ314" t="s">
        <v>74</v>
      </c>
      <c r="AR314" t="s">
        <v>5144</v>
      </c>
      <c r="AS314" t="s">
        <v>5145</v>
      </c>
      <c r="AT314" t="s">
        <v>5297</v>
      </c>
      <c r="AU314">
        <v>2005</v>
      </c>
      <c r="AV314">
        <v>32</v>
      </c>
      <c r="AW314">
        <v>24</v>
      </c>
      <c r="AX314" t="s">
        <v>74</v>
      </c>
      <c r="AY314" t="s">
        <v>74</v>
      </c>
      <c r="AZ314" t="s">
        <v>74</v>
      </c>
      <c r="BA314" t="s">
        <v>74</v>
      </c>
      <c r="BB314" t="s">
        <v>74</v>
      </c>
      <c r="BC314" t="s">
        <v>74</v>
      </c>
      <c r="BD314" t="s">
        <v>5298</v>
      </c>
      <c r="BE314" t="s">
        <v>5299</v>
      </c>
      <c r="BF314" t="str">
        <f>HYPERLINK("http://dx.doi.org/10.1029/2005GL024093","http://dx.doi.org/10.1029/2005GL024093")</f>
        <v>http://dx.doi.org/10.1029/2005GL024093</v>
      </c>
      <c r="BG314" t="s">
        <v>74</v>
      </c>
      <c r="BH314" t="s">
        <v>74</v>
      </c>
      <c r="BI314">
        <v>4</v>
      </c>
      <c r="BJ314" t="s">
        <v>1129</v>
      </c>
      <c r="BK314" t="s">
        <v>98</v>
      </c>
      <c r="BL314" t="s">
        <v>1130</v>
      </c>
      <c r="BM314" t="s">
        <v>5300</v>
      </c>
      <c r="BN314" t="s">
        <v>74</v>
      </c>
      <c r="BO314" t="s">
        <v>5301</v>
      </c>
      <c r="BP314" t="s">
        <v>74</v>
      </c>
      <c r="BQ314" t="s">
        <v>74</v>
      </c>
      <c r="BR314" t="s">
        <v>101</v>
      </c>
      <c r="BS314" t="s">
        <v>5302</v>
      </c>
      <c r="BT314" t="str">
        <f>HYPERLINK("https%3A%2F%2Fwww.webofscience.com%2Fwos%2Fwoscc%2Ffull-record%2FWOS:000234293000002","View Full Record in Web of Science")</f>
        <v>View Full Record in Web of Science</v>
      </c>
    </row>
    <row r="315" spans="1:72" x14ac:dyDescent="0.15">
      <c r="A315" t="s">
        <v>72</v>
      </c>
      <c r="B315" t="s">
        <v>5303</v>
      </c>
      <c r="C315" t="s">
        <v>74</v>
      </c>
      <c r="D315" t="s">
        <v>74</v>
      </c>
      <c r="E315" t="s">
        <v>74</v>
      </c>
      <c r="F315" t="s">
        <v>5303</v>
      </c>
      <c r="G315" t="s">
        <v>74</v>
      </c>
      <c r="H315" t="s">
        <v>74</v>
      </c>
      <c r="I315" t="s">
        <v>5304</v>
      </c>
      <c r="J315" t="s">
        <v>5134</v>
      </c>
      <c r="K315" t="s">
        <v>74</v>
      </c>
      <c r="L315" t="s">
        <v>74</v>
      </c>
      <c r="M315" t="s">
        <v>77</v>
      </c>
      <c r="N315" t="s">
        <v>78</v>
      </c>
      <c r="O315" t="s">
        <v>74</v>
      </c>
      <c r="P315" t="s">
        <v>74</v>
      </c>
      <c r="Q315" t="s">
        <v>74</v>
      </c>
      <c r="R315" t="s">
        <v>74</v>
      </c>
      <c r="S315" t="s">
        <v>74</v>
      </c>
      <c r="T315" t="s">
        <v>74</v>
      </c>
      <c r="U315" t="s">
        <v>5305</v>
      </c>
      <c r="V315" t="s">
        <v>5306</v>
      </c>
      <c r="W315" t="s">
        <v>5307</v>
      </c>
      <c r="X315" t="s">
        <v>5308</v>
      </c>
      <c r="Y315" t="s">
        <v>5309</v>
      </c>
      <c r="Z315" t="s">
        <v>5310</v>
      </c>
      <c r="AA315" t="s">
        <v>5311</v>
      </c>
      <c r="AB315" t="s">
        <v>5312</v>
      </c>
      <c r="AC315" t="s">
        <v>74</v>
      </c>
      <c r="AD315" t="s">
        <v>74</v>
      </c>
      <c r="AE315" t="s">
        <v>74</v>
      </c>
      <c r="AF315" t="s">
        <v>74</v>
      </c>
      <c r="AG315">
        <v>13</v>
      </c>
      <c r="AH315">
        <v>14</v>
      </c>
      <c r="AI315">
        <v>16</v>
      </c>
      <c r="AJ315">
        <v>2</v>
      </c>
      <c r="AK315">
        <v>10</v>
      </c>
      <c r="AL315" t="s">
        <v>4487</v>
      </c>
      <c r="AM315" t="s">
        <v>2541</v>
      </c>
      <c r="AN315" t="s">
        <v>4488</v>
      </c>
      <c r="AO315" t="s">
        <v>5142</v>
      </c>
      <c r="AP315" t="s">
        <v>74</v>
      </c>
      <c r="AQ315" t="s">
        <v>74</v>
      </c>
      <c r="AR315" t="s">
        <v>5144</v>
      </c>
      <c r="AS315" t="s">
        <v>5145</v>
      </c>
      <c r="AT315" t="s">
        <v>5313</v>
      </c>
      <c r="AU315">
        <v>2005</v>
      </c>
      <c r="AV315">
        <v>32</v>
      </c>
      <c r="AW315">
        <v>24</v>
      </c>
      <c r="AX315" t="s">
        <v>74</v>
      </c>
      <c r="AY315" t="s">
        <v>74</v>
      </c>
      <c r="AZ315" t="s">
        <v>74</v>
      </c>
      <c r="BA315" t="s">
        <v>74</v>
      </c>
      <c r="BB315" t="s">
        <v>74</v>
      </c>
      <c r="BC315" t="s">
        <v>74</v>
      </c>
      <c r="BD315" t="s">
        <v>5314</v>
      </c>
      <c r="BE315" t="s">
        <v>5315</v>
      </c>
      <c r="BF315" t="str">
        <f>HYPERLINK("http://dx.doi.org/10.1029/2005GL023271","http://dx.doi.org/10.1029/2005GL023271")</f>
        <v>http://dx.doi.org/10.1029/2005GL023271</v>
      </c>
      <c r="BG315" t="s">
        <v>74</v>
      </c>
      <c r="BH315" t="s">
        <v>74</v>
      </c>
      <c r="BI315">
        <v>5</v>
      </c>
      <c r="BJ315" t="s">
        <v>1129</v>
      </c>
      <c r="BK315" t="s">
        <v>98</v>
      </c>
      <c r="BL315" t="s">
        <v>1130</v>
      </c>
      <c r="BM315" t="s">
        <v>5316</v>
      </c>
      <c r="BN315" t="s">
        <v>74</v>
      </c>
      <c r="BO315" t="s">
        <v>5301</v>
      </c>
      <c r="BP315" t="s">
        <v>74</v>
      </c>
      <c r="BQ315" t="s">
        <v>74</v>
      </c>
      <c r="BR315" t="s">
        <v>101</v>
      </c>
      <c r="BS315" t="s">
        <v>5317</v>
      </c>
      <c r="BT315" t="str">
        <f>HYPERLINK("https%3A%2F%2Fwww.webofscience.com%2Fwos%2Fwoscc%2Ffull-record%2FWOS:000234292800001","View Full Record in Web of Science")</f>
        <v>View Full Record in Web of Science</v>
      </c>
    </row>
    <row r="316" spans="1:72" x14ac:dyDescent="0.15">
      <c r="A316" t="s">
        <v>72</v>
      </c>
      <c r="B316" t="s">
        <v>5318</v>
      </c>
      <c r="C316" t="s">
        <v>74</v>
      </c>
      <c r="D316" t="s">
        <v>74</v>
      </c>
      <c r="E316" t="s">
        <v>74</v>
      </c>
      <c r="F316" t="s">
        <v>5318</v>
      </c>
      <c r="G316" t="s">
        <v>74</v>
      </c>
      <c r="H316" t="s">
        <v>74</v>
      </c>
      <c r="I316" t="s">
        <v>5319</v>
      </c>
      <c r="J316" t="s">
        <v>5320</v>
      </c>
      <c r="K316" t="s">
        <v>74</v>
      </c>
      <c r="L316" t="s">
        <v>74</v>
      </c>
      <c r="M316" t="s">
        <v>77</v>
      </c>
      <c r="N316" t="s">
        <v>78</v>
      </c>
      <c r="O316" t="s">
        <v>74</v>
      </c>
      <c r="P316" t="s">
        <v>74</v>
      </c>
      <c r="Q316" t="s">
        <v>74</v>
      </c>
      <c r="R316" t="s">
        <v>74</v>
      </c>
      <c r="S316" t="s">
        <v>74</v>
      </c>
      <c r="T316" t="s">
        <v>74</v>
      </c>
      <c r="U316" t="s">
        <v>5321</v>
      </c>
      <c r="V316" t="s">
        <v>5322</v>
      </c>
      <c r="W316" t="s">
        <v>5323</v>
      </c>
      <c r="X316" t="s">
        <v>5324</v>
      </c>
      <c r="Y316" t="s">
        <v>5325</v>
      </c>
      <c r="Z316" t="s">
        <v>5326</v>
      </c>
      <c r="AA316" t="s">
        <v>74</v>
      </c>
      <c r="AB316" t="s">
        <v>74</v>
      </c>
      <c r="AC316" t="s">
        <v>74</v>
      </c>
      <c r="AD316" t="s">
        <v>74</v>
      </c>
      <c r="AE316" t="s">
        <v>74</v>
      </c>
      <c r="AF316" t="s">
        <v>74</v>
      </c>
      <c r="AG316">
        <v>36</v>
      </c>
      <c r="AH316">
        <v>9</v>
      </c>
      <c r="AI316">
        <v>14</v>
      </c>
      <c r="AJ316">
        <v>0</v>
      </c>
      <c r="AK316">
        <v>5</v>
      </c>
      <c r="AL316" t="s">
        <v>5327</v>
      </c>
      <c r="AM316" t="s">
        <v>5328</v>
      </c>
      <c r="AN316" t="s">
        <v>5329</v>
      </c>
      <c r="AO316" t="s">
        <v>74</v>
      </c>
      <c r="AP316" t="s">
        <v>5330</v>
      </c>
      <c r="AQ316" t="s">
        <v>74</v>
      </c>
      <c r="AR316" t="s">
        <v>5331</v>
      </c>
      <c r="AS316" t="s">
        <v>5332</v>
      </c>
      <c r="AT316" t="s">
        <v>5313</v>
      </c>
      <c r="AU316">
        <v>2005</v>
      </c>
      <c r="AV316">
        <v>280</v>
      </c>
      <c r="AW316">
        <v>50</v>
      </c>
      <c r="AX316" t="s">
        <v>74</v>
      </c>
      <c r="AY316" t="s">
        <v>74</v>
      </c>
      <c r="AZ316" t="s">
        <v>74</v>
      </c>
      <c r="BA316" t="s">
        <v>74</v>
      </c>
      <c r="BB316">
        <v>41307</v>
      </c>
      <c r="BC316">
        <v>41314</v>
      </c>
      <c r="BD316" t="s">
        <v>74</v>
      </c>
      <c r="BE316" t="s">
        <v>5333</v>
      </c>
      <c r="BF316" t="str">
        <f>HYPERLINK("http://dx.doi.org/10.1074/jbc.M506464200","http://dx.doi.org/10.1074/jbc.M506464200")</f>
        <v>http://dx.doi.org/10.1074/jbc.M506464200</v>
      </c>
      <c r="BG316" t="s">
        <v>74</v>
      </c>
      <c r="BH316" t="s">
        <v>74</v>
      </c>
      <c r="BI316">
        <v>8</v>
      </c>
      <c r="BJ316" t="s">
        <v>124</v>
      </c>
      <c r="BK316" t="s">
        <v>98</v>
      </c>
      <c r="BL316" t="s">
        <v>124</v>
      </c>
      <c r="BM316" t="s">
        <v>5334</v>
      </c>
      <c r="BN316">
        <v>16227206</v>
      </c>
      <c r="BO316" t="s">
        <v>5335</v>
      </c>
      <c r="BP316" t="s">
        <v>74</v>
      </c>
      <c r="BQ316" t="s">
        <v>74</v>
      </c>
      <c r="BR316" t="s">
        <v>101</v>
      </c>
      <c r="BS316" t="s">
        <v>5336</v>
      </c>
      <c r="BT316" t="str">
        <f>HYPERLINK("https%3A%2F%2Fwww.webofscience.com%2Fwos%2Fwoscc%2Ffull-record%2FWOS:000233866900025","View Full Record in Web of Science")</f>
        <v>View Full Record in Web of Science</v>
      </c>
    </row>
    <row r="317" spans="1:72" x14ac:dyDescent="0.15">
      <c r="A317" t="s">
        <v>72</v>
      </c>
      <c r="B317" t="s">
        <v>5337</v>
      </c>
      <c r="C317" t="s">
        <v>74</v>
      </c>
      <c r="D317" t="s">
        <v>74</v>
      </c>
      <c r="E317" t="s">
        <v>74</v>
      </c>
      <c r="F317" t="s">
        <v>5337</v>
      </c>
      <c r="G317" t="s">
        <v>74</v>
      </c>
      <c r="H317" t="s">
        <v>74</v>
      </c>
      <c r="I317" t="s">
        <v>5338</v>
      </c>
      <c r="J317" t="s">
        <v>5339</v>
      </c>
      <c r="K317" t="s">
        <v>74</v>
      </c>
      <c r="L317" t="s">
        <v>74</v>
      </c>
      <c r="M317" t="s">
        <v>77</v>
      </c>
      <c r="N317" t="s">
        <v>78</v>
      </c>
      <c r="O317" t="s">
        <v>74</v>
      </c>
      <c r="P317" t="s">
        <v>74</v>
      </c>
      <c r="Q317" t="s">
        <v>74</v>
      </c>
      <c r="R317" t="s">
        <v>74</v>
      </c>
      <c r="S317" t="s">
        <v>74</v>
      </c>
      <c r="T317" t="s">
        <v>5340</v>
      </c>
      <c r="U317" t="s">
        <v>5341</v>
      </c>
      <c r="V317" t="s">
        <v>5342</v>
      </c>
      <c r="W317" t="s">
        <v>5343</v>
      </c>
      <c r="X317" t="s">
        <v>5344</v>
      </c>
      <c r="Y317" t="s">
        <v>5345</v>
      </c>
      <c r="Z317" t="s">
        <v>5346</v>
      </c>
      <c r="AA317" t="s">
        <v>5347</v>
      </c>
      <c r="AB317" t="s">
        <v>5348</v>
      </c>
      <c r="AC317" t="s">
        <v>74</v>
      </c>
      <c r="AD317" t="s">
        <v>74</v>
      </c>
      <c r="AE317" t="s">
        <v>74</v>
      </c>
      <c r="AF317" t="s">
        <v>74</v>
      </c>
      <c r="AG317">
        <v>48</v>
      </c>
      <c r="AH317">
        <v>53</v>
      </c>
      <c r="AI317">
        <v>55</v>
      </c>
      <c r="AJ317">
        <v>1</v>
      </c>
      <c r="AK317">
        <v>16</v>
      </c>
      <c r="AL317" t="s">
        <v>3283</v>
      </c>
      <c r="AM317" t="s">
        <v>1148</v>
      </c>
      <c r="AN317" t="s">
        <v>3284</v>
      </c>
      <c r="AO317" t="s">
        <v>5349</v>
      </c>
      <c r="AP317" t="s">
        <v>5350</v>
      </c>
      <c r="AQ317" t="s">
        <v>74</v>
      </c>
      <c r="AR317" t="s">
        <v>5351</v>
      </c>
      <c r="AS317" t="s">
        <v>5352</v>
      </c>
      <c r="AT317" t="s">
        <v>5353</v>
      </c>
      <c r="AU317">
        <v>2005</v>
      </c>
      <c r="AV317">
        <v>240</v>
      </c>
      <c r="AW317" t="s">
        <v>530</v>
      </c>
      <c r="AX317" t="s">
        <v>74</v>
      </c>
      <c r="AY317" t="s">
        <v>74</v>
      </c>
      <c r="AZ317" t="s">
        <v>74</v>
      </c>
      <c r="BA317" t="s">
        <v>74</v>
      </c>
      <c r="BB317">
        <v>724</v>
      </c>
      <c r="BC317">
        <v>731</v>
      </c>
      <c r="BD317" t="s">
        <v>74</v>
      </c>
      <c r="BE317" t="s">
        <v>5354</v>
      </c>
      <c r="BF317" t="str">
        <f>HYPERLINK("http://dx.doi.org/10.1016/j.epsl.2005.09.032","http://dx.doi.org/10.1016/j.epsl.2005.09.032")</f>
        <v>http://dx.doi.org/10.1016/j.epsl.2005.09.032</v>
      </c>
      <c r="BG317" t="s">
        <v>74</v>
      </c>
      <c r="BH317" t="s">
        <v>74</v>
      </c>
      <c r="BI317">
        <v>8</v>
      </c>
      <c r="BJ317" t="s">
        <v>1348</v>
      </c>
      <c r="BK317" t="s">
        <v>98</v>
      </c>
      <c r="BL317" t="s">
        <v>1348</v>
      </c>
      <c r="BM317" t="s">
        <v>5355</v>
      </c>
      <c r="BN317" t="s">
        <v>74</v>
      </c>
      <c r="BO317" t="s">
        <v>534</v>
      </c>
      <c r="BP317" t="s">
        <v>74</v>
      </c>
      <c r="BQ317" t="s">
        <v>74</v>
      </c>
      <c r="BR317" t="s">
        <v>101</v>
      </c>
      <c r="BS317" t="s">
        <v>5356</v>
      </c>
      <c r="BT317" t="str">
        <f>HYPERLINK("https%3A%2F%2Fwww.webofscience.com%2Fwos%2Fwoscc%2Ffull-record%2FWOS:000234132000014","View Full Record in Web of Science")</f>
        <v>View Full Record in Web of Science</v>
      </c>
    </row>
    <row r="318" spans="1:72" x14ac:dyDescent="0.15">
      <c r="A318" t="s">
        <v>72</v>
      </c>
      <c r="B318" t="s">
        <v>5357</v>
      </c>
      <c r="C318" t="s">
        <v>74</v>
      </c>
      <c r="D318" t="s">
        <v>74</v>
      </c>
      <c r="E318" t="s">
        <v>74</v>
      </c>
      <c r="F318" t="s">
        <v>5357</v>
      </c>
      <c r="G318" t="s">
        <v>74</v>
      </c>
      <c r="H318" t="s">
        <v>74</v>
      </c>
      <c r="I318" t="s">
        <v>5358</v>
      </c>
      <c r="J318" t="s">
        <v>5359</v>
      </c>
      <c r="K318" t="s">
        <v>74</v>
      </c>
      <c r="L318" t="s">
        <v>74</v>
      </c>
      <c r="M318" t="s">
        <v>77</v>
      </c>
      <c r="N318" t="s">
        <v>78</v>
      </c>
      <c r="O318" t="s">
        <v>74</v>
      </c>
      <c r="P318" t="s">
        <v>74</v>
      </c>
      <c r="Q318" t="s">
        <v>74</v>
      </c>
      <c r="R318" t="s">
        <v>74</v>
      </c>
      <c r="S318" t="s">
        <v>74</v>
      </c>
      <c r="T318" t="s">
        <v>74</v>
      </c>
      <c r="U318" t="s">
        <v>5360</v>
      </c>
      <c r="V318" t="s">
        <v>5361</v>
      </c>
      <c r="W318" t="s">
        <v>5362</v>
      </c>
      <c r="X318" t="s">
        <v>5363</v>
      </c>
      <c r="Y318" t="s">
        <v>5364</v>
      </c>
      <c r="Z318" t="s">
        <v>5365</v>
      </c>
      <c r="AA318" t="s">
        <v>5366</v>
      </c>
      <c r="AB318" t="s">
        <v>5367</v>
      </c>
      <c r="AC318" t="s">
        <v>74</v>
      </c>
      <c r="AD318" t="s">
        <v>74</v>
      </c>
      <c r="AE318" t="s">
        <v>74</v>
      </c>
      <c r="AF318" t="s">
        <v>74</v>
      </c>
      <c r="AG318">
        <v>24</v>
      </c>
      <c r="AH318">
        <v>63</v>
      </c>
      <c r="AI318">
        <v>67</v>
      </c>
      <c r="AJ318">
        <v>5</v>
      </c>
      <c r="AK318">
        <v>39</v>
      </c>
      <c r="AL318" t="s">
        <v>5368</v>
      </c>
      <c r="AM318" t="s">
        <v>2541</v>
      </c>
      <c r="AN318" t="s">
        <v>5369</v>
      </c>
      <c r="AO318" t="s">
        <v>5370</v>
      </c>
      <c r="AP318" t="s">
        <v>74</v>
      </c>
      <c r="AQ318" t="s">
        <v>74</v>
      </c>
      <c r="AR318" t="s">
        <v>5371</v>
      </c>
      <c r="AS318" t="s">
        <v>5372</v>
      </c>
      <c r="AT318" t="s">
        <v>5353</v>
      </c>
      <c r="AU318">
        <v>2005</v>
      </c>
      <c r="AV318">
        <v>39</v>
      </c>
      <c r="AW318">
        <v>24</v>
      </c>
      <c r="AX318" t="s">
        <v>74</v>
      </c>
      <c r="AY318" t="s">
        <v>74</v>
      </c>
      <c r="AZ318" t="s">
        <v>74</v>
      </c>
      <c r="BA318" t="s">
        <v>74</v>
      </c>
      <c r="BB318">
        <v>9406</v>
      </c>
      <c r="BC318">
        <v>9411</v>
      </c>
      <c r="BD318" t="s">
        <v>74</v>
      </c>
      <c r="BE318" t="s">
        <v>5373</v>
      </c>
      <c r="BF318" t="str">
        <f>HYPERLINK("http://dx.doi.org/10.1021/es0510921","http://dx.doi.org/10.1021/es0510921")</f>
        <v>http://dx.doi.org/10.1021/es0510921</v>
      </c>
      <c r="BG318" t="s">
        <v>74</v>
      </c>
      <c r="BH318" t="s">
        <v>74</v>
      </c>
      <c r="BI318">
        <v>6</v>
      </c>
      <c r="BJ318" t="s">
        <v>5374</v>
      </c>
      <c r="BK318" t="s">
        <v>98</v>
      </c>
      <c r="BL318" t="s">
        <v>5375</v>
      </c>
      <c r="BM318" t="s">
        <v>5376</v>
      </c>
      <c r="BN318">
        <v>16475315</v>
      </c>
      <c r="BO318" t="s">
        <v>74</v>
      </c>
      <c r="BP318" t="s">
        <v>74</v>
      </c>
      <c r="BQ318" t="s">
        <v>74</v>
      </c>
      <c r="BR318" t="s">
        <v>101</v>
      </c>
      <c r="BS318" t="s">
        <v>5377</v>
      </c>
      <c r="BT318" t="str">
        <f>HYPERLINK("https%3A%2F%2Fwww.webofscience.com%2Fwos%2Fwoscc%2Ffull-record%2FWOS:000234133300008","View Full Record in Web of Science")</f>
        <v>View Full Record in Web of Science</v>
      </c>
    </row>
    <row r="319" spans="1:72" x14ac:dyDescent="0.15">
      <c r="A319" t="s">
        <v>72</v>
      </c>
      <c r="B319" t="s">
        <v>5378</v>
      </c>
      <c r="C319" t="s">
        <v>74</v>
      </c>
      <c r="D319" t="s">
        <v>74</v>
      </c>
      <c r="E319" t="s">
        <v>74</v>
      </c>
      <c r="F319" t="s">
        <v>5378</v>
      </c>
      <c r="G319" t="s">
        <v>74</v>
      </c>
      <c r="H319" t="s">
        <v>74</v>
      </c>
      <c r="I319" t="s">
        <v>5379</v>
      </c>
      <c r="J319" t="s">
        <v>1472</v>
      </c>
      <c r="K319" t="s">
        <v>74</v>
      </c>
      <c r="L319" t="s">
        <v>74</v>
      </c>
      <c r="M319" t="s">
        <v>77</v>
      </c>
      <c r="N319" t="s">
        <v>78</v>
      </c>
      <c r="O319" t="s">
        <v>74</v>
      </c>
      <c r="P319" t="s">
        <v>74</v>
      </c>
      <c r="Q319" t="s">
        <v>74</v>
      </c>
      <c r="R319" t="s">
        <v>74</v>
      </c>
      <c r="S319" t="s">
        <v>74</v>
      </c>
      <c r="T319" t="s">
        <v>74</v>
      </c>
      <c r="U319" t="s">
        <v>5380</v>
      </c>
      <c r="V319" t="s">
        <v>5381</v>
      </c>
      <c r="W319" t="s">
        <v>5382</v>
      </c>
      <c r="X319" t="s">
        <v>5383</v>
      </c>
      <c r="Y319" t="s">
        <v>5384</v>
      </c>
      <c r="Z319" t="s">
        <v>5385</v>
      </c>
      <c r="AA319" t="s">
        <v>5386</v>
      </c>
      <c r="AB319" t="s">
        <v>5387</v>
      </c>
      <c r="AC319" t="s">
        <v>74</v>
      </c>
      <c r="AD319" t="s">
        <v>74</v>
      </c>
      <c r="AE319" t="s">
        <v>74</v>
      </c>
      <c r="AF319" t="s">
        <v>74</v>
      </c>
      <c r="AG319">
        <v>92</v>
      </c>
      <c r="AH319">
        <v>58</v>
      </c>
      <c r="AI319">
        <v>61</v>
      </c>
      <c r="AJ319">
        <v>0</v>
      </c>
      <c r="AK319">
        <v>8</v>
      </c>
      <c r="AL319" t="s">
        <v>622</v>
      </c>
      <c r="AM319" t="s">
        <v>140</v>
      </c>
      <c r="AN319" t="s">
        <v>623</v>
      </c>
      <c r="AO319" t="s">
        <v>1481</v>
      </c>
      <c r="AP319" t="s">
        <v>1482</v>
      </c>
      <c r="AQ319" t="s">
        <v>74</v>
      </c>
      <c r="AR319" t="s">
        <v>1483</v>
      </c>
      <c r="AS319" t="s">
        <v>1484</v>
      </c>
      <c r="AT319" t="s">
        <v>5353</v>
      </c>
      <c r="AU319">
        <v>2005</v>
      </c>
      <c r="AV319">
        <v>69</v>
      </c>
      <c r="AW319">
        <v>24</v>
      </c>
      <c r="AX319" t="s">
        <v>74</v>
      </c>
      <c r="AY319" t="s">
        <v>74</v>
      </c>
      <c r="AZ319" t="s">
        <v>74</v>
      </c>
      <c r="BA319" t="s">
        <v>74</v>
      </c>
      <c r="BB319">
        <v>5789</v>
      </c>
      <c r="BC319">
        <v>5804</v>
      </c>
      <c r="BD319" t="s">
        <v>74</v>
      </c>
      <c r="BE319" t="s">
        <v>5388</v>
      </c>
      <c r="BF319" t="str">
        <f>HYPERLINK("http://dx.doi.org/10.1016/j.gca.2005.08.002","http://dx.doi.org/10.1016/j.gca.2005.08.002")</f>
        <v>http://dx.doi.org/10.1016/j.gca.2005.08.002</v>
      </c>
      <c r="BG319" t="s">
        <v>74</v>
      </c>
      <c r="BH319" t="s">
        <v>74</v>
      </c>
      <c r="BI319">
        <v>16</v>
      </c>
      <c r="BJ319" t="s">
        <v>1348</v>
      </c>
      <c r="BK319" t="s">
        <v>98</v>
      </c>
      <c r="BL319" t="s">
        <v>1348</v>
      </c>
      <c r="BM319" t="s">
        <v>5389</v>
      </c>
      <c r="BN319" t="s">
        <v>74</v>
      </c>
      <c r="BO319" t="s">
        <v>74</v>
      </c>
      <c r="BP319" t="s">
        <v>74</v>
      </c>
      <c r="BQ319" t="s">
        <v>74</v>
      </c>
      <c r="BR319" t="s">
        <v>101</v>
      </c>
      <c r="BS319" t="s">
        <v>5390</v>
      </c>
      <c r="BT319" t="str">
        <f>HYPERLINK("https%3A%2F%2Fwww.webofscience.com%2Fwos%2Fwoscc%2Ffull-record%2FWOS:000234413800012","View Full Record in Web of Science")</f>
        <v>View Full Record in Web of Science</v>
      </c>
    </row>
    <row r="320" spans="1:72" x14ac:dyDescent="0.15">
      <c r="A320" t="s">
        <v>72</v>
      </c>
      <c r="B320" t="s">
        <v>5391</v>
      </c>
      <c r="C320" t="s">
        <v>74</v>
      </c>
      <c r="D320" t="s">
        <v>74</v>
      </c>
      <c r="E320" t="s">
        <v>74</v>
      </c>
      <c r="F320" t="s">
        <v>5391</v>
      </c>
      <c r="G320" t="s">
        <v>74</v>
      </c>
      <c r="H320" t="s">
        <v>74</v>
      </c>
      <c r="I320" t="s">
        <v>5392</v>
      </c>
      <c r="J320" t="s">
        <v>1472</v>
      </c>
      <c r="K320" t="s">
        <v>74</v>
      </c>
      <c r="L320" t="s">
        <v>74</v>
      </c>
      <c r="M320" t="s">
        <v>77</v>
      </c>
      <c r="N320" t="s">
        <v>78</v>
      </c>
      <c r="O320" t="s">
        <v>74</v>
      </c>
      <c r="P320" t="s">
        <v>74</v>
      </c>
      <c r="Q320" t="s">
        <v>74</v>
      </c>
      <c r="R320" t="s">
        <v>74</v>
      </c>
      <c r="S320" t="s">
        <v>74</v>
      </c>
      <c r="T320" t="s">
        <v>74</v>
      </c>
      <c r="U320" t="s">
        <v>5393</v>
      </c>
      <c r="V320" t="s">
        <v>5394</v>
      </c>
      <c r="W320" t="s">
        <v>5395</v>
      </c>
      <c r="X320" t="s">
        <v>5396</v>
      </c>
      <c r="Y320" t="s">
        <v>5397</v>
      </c>
      <c r="Z320" t="s">
        <v>5398</v>
      </c>
      <c r="AA320" t="s">
        <v>74</v>
      </c>
      <c r="AB320" t="s">
        <v>74</v>
      </c>
      <c r="AC320" t="s">
        <v>74</v>
      </c>
      <c r="AD320" t="s">
        <v>74</v>
      </c>
      <c r="AE320" t="s">
        <v>74</v>
      </c>
      <c r="AF320" t="s">
        <v>74</v>
      </c>
      <c r="AG320">
        <v>97</v>
      </c>
      <c r="AH320">
        <v>77</v>
      </c>
      <c r="AI320">
        <v>82</v>
      </c>
      <c r="AJ320">
        <v>0</v>
      </c>
      <c r="AK320">
        <v>12</v>
      </c>
      <c r="AL320" t="s">
        <v>622</v>
      </c>
      <c r="AM320" t="s">
        <v>140</v>
      </c>
      <c r="AN320" t="s">
        <v>623</v>
      </c>
      <c r="AO320" t="s">
        <v>1481</v>
      </c>
      <c r="AP320" t="s">
        <v>1482</v>
      </c>
      <c r="AQ320" t="s">
        <v>74</v>
      </c>
      <c r="AR320" t="s">
        <v>1483</v>
      </c>
      <c r="AS320" t="s">
        <v>1484</v>
      </c>
      <c r="AT320" t="s">
        <v>5353</v>
      </c>
      <c r="AU320">
        <v>2005</v>
      </c>
      <c r="AV320">
        <v>69</v>
      </c>
      <c r="AW320">
        <v>24</v>
      </c>
      <c r="AX320" t="s">
        <v>74</v>
      </c>
      <c r="AY320" t="s">
        <v>74</v>
      </c>
      <c r="AZ320" t="s">
        <v>74</v>
      </c>
      <c r="BA320" t="s">
        <v>74</v>
      </c>
      <c r="BB320">
        <v>5847</v>
      </c>
      <c r="BC320">
        <v>5861</v>
      </c>
      <c r="BD320" t="s">
        <v>74</v>
      </c>
      <c r="BE320" t="s">
        <v>5399</v>
      </c>
      <c r="BF320" t="str">
        <f>HYPERLINK("http://dx.doi.org/10.1016/j.gca.2005.08.009","http://dx.doi.org/10.1016/j.gca.2005.08.009")</f>
        <v>http://dx.doi.org/10.1016/j.gca.2005.08.009</v>
      </c>
      <c r="BG320" t="s">
        <v>74</v>
      </c>
      <c r="BH320" t="s">
        <v>74</v>
      </c>
      <c r="BI320">
        <v>15</v>
      </c>
      <c r="BJ320" t="s">
        <v>1348</v>
      </c>
      <c r="BK320" t="s">
        <v>98</v>
      </c>
      <c r="BL320" t="s">
        <v>1348</v>
      </c>
      <c r="BM320" t="s">
        <v>5389</v>
      </c>
      <c r="BN320" t="s">
        <v>74</v>
      </c>
      <c r="BO320" t="s">
        <v>74</v>
      </c>
      <c r="BP320" t="s">
        <v>74</v>
      </c>
      <c r="BQ320" t="s">
        <v>74</v>
      </c>
      <c r="BR320" t="s">
        <v>101</v>
      </c>
      <c r="BS320" t="s">
        <v>5400</v>
      </c>
      <c r="BT320" t="str">
        <f>HYPERLINK("https%3A%2F%2Fwww.webofscience.com%2Fwos%2Fwoscc%2Ffull-record%2FWOS:000234413800016","View Full Record in Web of Science")</f>
        <v>View Full Record in Web of Science</v>
      </c>
    </row>
    <row r="321" spans="1:72" x14ac:dyDescent="0.15">
      <c r="A321" t="s">
        <v>72</v>
      </c>
      <c r="B321" t="s">
        <v>5401</v>
      </c>
      <c r="C321" t="s">
        <v>74</v>
      </c>
      <c r="D321" t="s">
        <v>74</v>
      </c>
      <c r="E321" t="s">
        <v>74</v>
      </c>
      <c r="F321" t="s">
        <v>5401</v>
      </c>
      <c r="G321" t="s">
        <v>74</v>
      </c>
      <c r="H321" t="s">
        <v>74</v>
      </c>
      <c r="I321" t="s">
        <v>5402</v>
      </c>
      <c r="J321" t="s">
        <v>5134</v>
      </c>
      <c r="K321" t="s">
        <v>74</v>
      </c>
      <c r="L321" t="s">
        <v>74</v>
      </c>
      <c r="M321" t="s">
        <v>77</v>
      </c>
      <c r="N321" t="s">
        <v>78</v>
      </c>
      <c r="O321" t="s">
        <v>74</v>
      </c>
      <c r="P321" t="s">
        <v>74</v>
      </c>
      <c r="Q321" t="s">
        <v>74</v>
      </c>
      <c r="R321" t="s">
        <v>74</v>
      </c>
      <c r="S321" t="s">
        <v>74</v>
      </c>
      <c r="T321" t="s">
        <v>74</v>
      </c>
      <c r="U321" t="s">
        <v>5403</v>
      </c>
      <c r="V321" t="s">
        <v>5404</v>
      </c>
      <c r="W321" t="s">
        <v>5405</v>
      </c>
      <c r="X321" t="s">
        <v>5406</v>
      </c>
      <c r="Y321" t="s">
        <v>5407</v>
      </c>
      <c r="Z321" t="s">
        <v>5408</v>
      </c>
      <c r="AA321" t="s">
        <v>5409</v>
      </c>
      <c r="AB321" t="s">
        <v>5410</v>
      </c>
      <c r="AC321" t="s">
        <v>74</v>
      </c>
      <c r="AD321" t="s">
        <v>74</v>
      </c>
      <c r="AE321" t="s">
        <v>74</v>
      </c>
      <c r="AF321" t="s">
        <v>74</v>
      </c>
      <c r="AG321">
        <v>21</v>
      </c>
      <c r="AH321">
        <v>19</v>
      </c>
      <c r="AI321">
        <v>24</v>
      </c>
      <c r="AJ321">
        <v>0</v>
      </c>
      <c r="AK321">
        <v>5</v>
      </c>
      <c r="AL321" t="s">
        <v>4487</v>
      </c>
      <c r="AM321" t="s">
        <v>2541</v>
      </c>
      <c r="AN321" t="s">
        <v>4488</v>
      </c>
      <c r="AO321" t="s">
        <v>5142</v>
      </c>
      <c r="AP321" t="s">
        <v>5143</v>
      </c>
      <c r="AQ321" t="s">
        <v>74</v>
      </c>
      <c r="AR321" t="s">
        <v>5144</v>
      </c>
      <c r="AS321" t="s">
        <v>5145</v>
      </c>
      <c r="AT321" t="s">
        <v>5411</v>
      </c>
      <c r="AU321">
        <v>2005</v>
      </c>
      <c r="AV321">
        <v>32</v>
      </c>
      <c r="AW321">
        <v>23</v>
      </c>
      <c r="AX321" t="s">
        <v>74</v>
      </c>
      <c r="AY321" t="s">
        <v>74</v>
      </c>
      <c r="AZ321" t="s">
        <v>74</v>
      </c>
      <c r="BA321" t="s">
        <v>74</v>
      </c>
      <c r="BB321" t="s">
        <v>74</v>
      </c>
      <c r="BC321" t="s">
        <v>74</v>
      </c>
      <c r="BD321" t="s">
        <v>5412</v>
      </c>
      <c r="BE321" t="s">
        <v>5413</v>
      </c>
      <c r="BF321" t="str">
        <f>HYPERLINK("http://dx.doi.org/10.1029/2005GL024745","http://dx.doi.org/10.1029/2005GL024745")</f>
        <v>http://dx.doi.org/10.1029/2005GL024745</v>
      </c>
      <c r="BG321" t="s">
        <v>74</v>
      </c>
      <c r="BH321" t="s">
        <v>74</v>
      </c>
      <c r="BI321">
        <v>4</v>
      </c>
      <c r="BJ321" t="s">
        <v>1129</v>
      </c>
      <c r="BK321" t="s">
        <v>98</v>
      </c>
      <c r="BL321" t="s">
        <v>1130</v>
      </c>
      <c r="BM321" t="s">
        <v>5414</v>
      </c>
      <c r="BN321" t="s">
        <v>74</v>
      </c>
      <c r="BO321" t="s">
        <v>722</v>
      </c>
      <c r="BP321" t="s">
        <v>74</v>
      </c>
      <c r="BQ321" t="s">
        <v>74</v>
      </c>
      <c r="BR321" t="s">
        <v>101</v>
      </c>
      <c r="BS321" t="s">
        <v>5415</v>
      </c>
      <c r="BT321" t="str">
        <f>HYPERLINK("https%3A%2F%2Fwww.webofscience.com%2Fwos%2Fwoscc%2Ffull-record%2FWOS:000234292500010","View Full Record in Web of Science")</f>
        <v>View Full Record in Web of Science</v>
      </c>
    </row>
    <row r="322" spans="1:72" x14ac:dyDescent="0.15">
      <c r="A322" t="s">
        <v>72</v>
      </c>
      <c r="B322" t="s">
        <v>5416</v>
      </c>
      <c r="C322" t="s">
        <v>74</v>
      </c>
      <c r="D322" t="s">
        <v>74</v>
      </c>
      <c r="E322" t="s">
        <v>74</v>
      </c>
      <c r="F322" t="s">
        <v>5416</v>
      </c>
      <c r="G322" t="s">
        <v>74</v>
      </c>
      <c r="H322" t="s">
        <v>74</v>
      </c>
      <c r="I322" t="s">
        <v>5417</v>
      </c>
      <c r="J322" t="s">
        <v>5418</v>
      </c>
      <c r="K322" t="s">
        <v>74</v>
      </c>
      <c r="L322" t="s">
        <v>74</v>
      </c>
      <c r="M322" t="s">
        <v>77</v>
      </c>
      <c r="N322" t="s">
        <v>78</v>
      </c>
      <c r="O322" t="s">
        <v>74</v>
      </c>
      <c r="P322" t="s">
        <v>74</v>
      </c>
      <c r="Q322" t="s">
        <v>74</v>
      </c>
      <c r="R322" t="s">
        <v>74</v>
      </c>
      <c r="S322" t="s">
        <v>74</v>
      </c>
      <c r="T322" t="s">
        <v>5419</v>
      </c>
      <c r="U322" t="s">
        <v>5420</v>
      </c>
      <c r="V322" t="s">
        <v>5421</v>
      </c>
      <c r="W322" t="s">
        <v>5422</v>
      </c>
      <c r="X322" t="s">
        <v>5423</v>
      </c>
      <c r="Y322" t="s">
        <v>5424</v>
      </c>
      <c r="Z322" t="s">
        <v>5425</v>
      </c>
      <c r="AA322" t="s">
        <v>5426</v>
      </c>
      <c r="AB322" t="s">
        <v>5427</v>
      </c>
      <c r="AC322" t="s">
        <v>74</v>
      </c>
      <c r="AD322" t="s">
        <v>74</v>
      </c>
      <c r="AE322" t="s">
        <v>74</v>
      </c>
      <c r="AF322" t="s">
        <v>74</v>
      </c>
      <c r="AG322">
        <v>82</v>
      </c>
      <c r="AH322">
        <v>49</v>
      </c>
      <c r="AI322">
        <v>54</v>
      </c>
      <c r="AJ322">
        <v>1</v>
      </c>
      <c r="AK322">
        <v>47</v>
      </c>
      <c r="AL322" t="s">
        <v>5428</v>
      </c>
      <c r="AM322" t="s">
        <v>5429</v>
      </c>
      <c r="AN322" t="s">
        <v>5430</v>
      </c>
      <c r="AO322" t="s">
        <v>5431</v>
      </c>
      <c r="AP322" t="s">
        <v>5432</v>
      </c>
      <c r="AQ322" t="s">
        <v>74</v>
      </c>
      <c r="AR322" t="s">
        <v>5433</v>
      </c>
      <c r="AS322" t="s">
        <v>5434</v>
      </c>
      <c r="AT322" t="s">
        <v>5411</v>
      </c>
      <c r="AU322">
        <v>2005</v>
      </c>
      <c r="AV322">
        <v>176</v>
      </c>
      <c r="AW322" t="s">
        <v>1655</v>
      </c>
      <c r="AX322" t="s">
        <v>74</v>
      </c>
      <c r="AY322" t="s">
        <v>74</v>
      </c>
      <c r="AZ322" t="s">
        <v>74</v>
      </c>
      <c r="BA322" t="s">
        <v>74</v>
      </c>
      <c r="BB322">
        <v>39</v>
      </c>
      <c r="BC322">
        <v>49</v>
      </c>
      <c r="BD322" t="s">
        <v>74</v>
      </c>
      <c r="BE322" t="s">
        <v>5435</v>
      </c>
      <c r="BF322" t="str">
        <f>HYPERLINK("http://dx.doi.org/10.1016/j.jphotochem.2005.08.032","http://dx.doi.org/10.1016/j.jphotochem.2005.08.032")</f>
        <v>http://dx.doi.org/10.1016/j.jphotochem.2005.08.032</v>
      </c>
      <c r="BG322" t="s">
        <v>74</v>
      </c>
      <c r="BH322" t="s">
        <v>74</v>
      </c>
      <c r="BI322">
        <v>11</v>
      </c>
      <c r="BJ322" t="s">
        <v>5436</v>
      </c>
      <c r="BK322" t="s">
        <v>98</v>
      </c>
      <c r="BL322" t="s">
        <v>3291</v>
      </c>
      <c r="BM322" t="s">
        <v>5437</v>
      </c>
      <c r="BN322" t="s">
        <v>74</v>
      </c>
      <c r="BO322" t="s">
        <v>74</v>
      </c>
      <c r="BP322" t="s">
        <v>74</v>
      </c>
      <c r="BQ322" t="s">
        <v>74</v>
      </c>
      <c r="BR322" t="s">
        <v>101</v>
      </c>
      <c r="BS322" t="s">
        <v>5438</v>
      </c>
      <c r="BT322" t="str">
        <f>HYPERLINK("https%3A%2F%2Fwww.webofscience.com%2Fwos%2Fwoscc%2Ffull-record%2FWOS:000233787600004","View Full Record in Web of Science")</f>
        <v>View Full Record in Web of Science</v>
      </c>
    </row>
    <row r="323" spans="1:72" x14ac:dyDescent="0.15">
      <c r="A323" t="s">
        <v>72</v>
      </c>
      <c r="B323" t="s">
        <v>5439</v>
      </c>
      <c r="C323" t="s">
        <v>74</v>
      </c>
      <c r="D323" t="s">
        <v>74</v>
      </c>
      <c r="E323" t="s">
        <v>74</v>
      </c>
      <c r="F323" t="s">
        <v>5439</v>
      </c>
      <c r="G323" t="s">
        <v>74</v>
      </c>
      <c r="H323" t="s">
        <v>74</v>
      </c>
      <c r="I323" t="s">
        <v>5440</v>
      </c>
      <c r="J323" t="s">
        <v>5441</v>
      </c>
      <c r="K323" t="s">
        <v>74</v>
      </c>
      <c r="L323" t="s">
        <v>74</v>
      </c>
      <c r="M323" t="s">
        <v>77</v>
      </c>
      <c r="N323" t="s">
        <v>78</v>
      </c>
      <c r="O323" t="s">
        <v>74</v>
      </c>
      <c r="P323" t="s">
        <v>74</v>
      </c>
      <c r="Q323" t="s">
        <v>74</v>
      </c>
      <c r="R323" t="s">
        <v>74</v>
      </c>
      <c r="S323" t="s">
        <v>74</v>
      </c>
      <c r="T323" t="s">
        <v>74</v>
      </c>
      <c r="U323" t="s">
        <v>5442</v>
      </c>
      <c r="V323" t="s">
        <v>5443</v>
      </c>
      <c r="W323" t="s">
        <v>5444</v>
      </c>
      <c r="X323" t="s">
        <v>74</v>
      </c>
      <c r="Y323" t="s">
        <v>5445</v>
      </c>
      <c r="Z323" t="s">
        <v>5446</v>
      </c>
      <c r="AA323" t="s">
        <v>74</v>
      </c>
      <c r="AB323" t="s">
        <v>74</v>
      </c>
      <c r="AC323" t="s">
        <v>74</v>
      </c>
      <c r="AD323" t="s">
        <v>74</v>
      </c>
      <c r="AE323" t="s">
        <v>74</v>
      </c>
      <c r="AF323" t="s">
        <v>74</v>
      </c>
      <c r="AG323">
        <v>63</v>
      </c>
      <c r="AH323">
        <v>11</v>
      </c>
      <c r="AI323">
        <v>11</v>
      </c>
      <c r="AJ323">
        <v>2</v>
      </c>
      <c r="AK323">
        <v>14</v>
      </c>
      <c r="AL323" t="s">
        <v>4487</v>
      </c>
      <c r="AM323" t="s">
        <v>2541</v>
      </c>
      <c r="AN323" t="s">
        <v>4488</v>
      </c>
      <c r="AO323" t="s">
        <v>5447</v>
      </c>
      <c r="AP323" t="s">
        <v>5448</v>
      </c>
      <c r="AQ323" t="s">
        <v>74</v>
      </c>
      <c r="AR323" t="s">
        <v>5441</v>
      </c>
      <c r="AS323" t="s">
        <v>5449</v>
      </c>
      <c r="AT323" t="s">
        <v>5411</v>
      </c>
      <c r="AU323">
        <v>2005</v>
      </c>
      <c r="AV323">
        <v>20</v>
      </c>
      <c r="AW323">
        <v>4</v>
      </c>
      <c r="AX323" t="s">
        <v>74</v>
      </c>
      <c r="AY323" t="s">
        <v>74</v>
      </c>
      <c r="AZ323" t="s">
        <v>74</v>
      </c>
      <c r="BA323" t="s">
        <v>74</v>
      </c>
      <c r="BB323" t="s">
        <v>74</v>
      </c>
      <c r="BC323" t="s">
        <v>74</v>
      </c>
      <c r="BD323" t="s">
        <v>5450</v>
      </c>
      <c r="BE323" t="s">
        <v>5451</v>
      </c>
      <c r="BF323" t="str">
        <f>HYPERLINK("http://dx.doi.org/10.1029/2005PA001131","http://dx.doi.org/10.1029/2005PA001131")</f>
        <v>http://dx.doi.org/10.1029/2005PA001131</v>
      </c>
      <c r="BG323" t="s">
        <v>74</v>
      </c>
      <c r="BH323" t="s">
        <v>74</v>
      </c>
      <c r="BI323">
        <v>18</v>
      </c>
      <c r="BJ323" t="s">
        <v>5452</v>
      </c>
      <c r="BK323" t="s">
        <v>98</v>
      </c>
      <c r="BL323" t="s">
        <v>5453</v>
      </c>
      <c r="BM323" t="s">
        <v>5454</v>
      </c>
      <c r="BN323" t="s">
        <v>74</v>
      </c>
      <c r="BO323" t="s">
        <v>1900</v>
      </c>
      <c r="BP323" t="s">
        <v>74</v>
      </c>
      <c r="BQ323" t="s">
        <v>74</v>
      </c>
      <c r="BR323" t="s">
        <v>101</v>
      </c>
      <c r="BS323" t="s">
        <v>5455</v>
      </c>
      <c r="BT323" t="str">
        <f>HYPERLINK("https%3A%2F%2Fwww.webofscience.com%2Fwos%2Fwoscc%2Ffull-record%2FWOS:000234296400001","View Full Record in Web of Science")</f>
        <v>View Full Record in Web of Science</v>
      </c>
    </row>
    <row r="324" spans="1:72" x14ac:dyDescent="0.15">
      <c r="A324" t="s">
        <v>72</v>
      </c>
      <c r="B324" t="s">
        <v>5456</v>
      </c>
      <c r="C324" t="s">
        <v>74</v>
      </c>
      <c r="D324" t="s">
        <v>74</v>
      </c>
      <c r="E324" t="s">
        <v>74</v>
      </c>
      <c r="F324" t="s">
        <v>5456</v>
      </c>
      <c r="G324" t="s">
        <v>74</v>
      </c>
      <c r="H324" t="s">
        <v>74</v>
      </c>
      <c r="I324" t="s">
        <v>5457</v>
      </c>
      <c r="J324" t="s">
        <v>5458</v>
      </c>
      <c r="K324" t="s">
        <v>74</v>
      </c>
      <c r="L324" t="s">
        <v>74</v>
      </c>
      <c r="M324" t="s">
        <v>77</v>
      </c>
      <c r="N324" t="s">
        <v>78</v>
      </c>
      <c r="O324" t="s">
        <v>74</v>
      </c>
      <c r="P324" t="s">
        <v>74</v>
      </c>
      <c r="Q324" t="s">
        <v>74</v>
      </c>
      <c r="R324" t="s">
        <v>74</v>
      </c>
      <c r="S324" t="s">
        <v>74</v>
      </c>
      <c r="T324" t="s">
        <v>5459</v>
      </c>
      <c r="U324" t="s">
        <v>5460</v>
      </c>
      <c r="V324" t="s">
        <v>5461</v>
      </c>
      <c r="W324" t="s">
        <v>5462</v>
      </c>
      <c r="X324" t="s">
        <v>5463</v>
      </c>
      <c r="Y324" t="s">
        <v>5464</v>
      </c>
      <c r="Z324" t="s">
        <v>5465</v>
      </c>
      <c r="AA324" t="s">
        <v>5466</v>
      </c>
      <c r="AB324" t="s">
        <v>5467</v>
      </c>
      <c r="AC324" t="s">
        <v>74</v>
      </c>
      <c r="AD324" t="s">
        <v>74</v>
      </c>
      <c r="AE324" t="s">
        <v>74</v>
      </c>
      <c r="AF324" t="s">
        <v>74</v>
      </c>
      <c r="AG324">
        <v>57</v>
      </c>
      <c r="AH324">
        <v>18</v>
      </c>
      <c r="AI324">
        <v>19</v>
      </c>
      <c r="AJ324">
        <v>0</v>
      </c>
      <c r="AK324">
        <v>7</v>
      </c>
      <c r="AL324" t="s">
        <v>1147</v>
      </c>
      <c r="AM324" t="s">
        <v>1148</v>
      </c>
      <c r="AN324" t="s">
        <v>1149</v>
      </c>
      <c r="AO324" t="s">
        <v>5468</v>
      </c>
      <c r="AP324" t="s">
        <v>74</v>
      </c>
      <c r="AQ324" t="s">
        <v>74</v>
      </c>
      <c r="AR324" t="s">
        <v>5469</v>
      </c>
      <c r="AS324" t="s">
        <v>5470</v>
      </c>
      <c r="AT324" t="s">
        <v>5471</v>
      </c>
      <c r="AU324">
        <v>2005</v>
      </c>
      <c r="AV324">
        <v>326</v>
      </c>
      <c r="AW324">
        <v>2</v>
      </c>
      <c r="AX324" t="s">
        <v>74</v>
      </c>
      <c r="AY324" t="s">
        <v>74</v>
      </c>
      <c r="AZ324" t="s">
        <v>74</v>
      </c>
      <c r="BA324" t="s">
        <v>74</v>
      </c>
      <c r="BB324">
        <v>144</v>
      </c>
      <c r="BC324">
        <v>156</v>
      </c>
      <c r="BD324" t="s">
        <v>74</v>
      </c>
      <c r="BE324" t="s">
        <v>5472</v>
      </c>
      <c r="BF324" t="str">
        <f>HYPERLINK("http://dx.doi.org/10.1016/j.jembe.2005.05.014","http://dx.doi.org/10.1016/j.jembe.2005.05.014")</f>
        <v>http://dx.doi.org/10.1016/j.jembe.2005.05.014</v>
      </c>
      <c r="BG324" t="s">
        <v>74</v>
      </c>
      <c r="BH324" t="s">
        <v>74</v>
      </c>
      <c r="BI324">
        <v>13</v>
      </c>
      <c r="BJ324" t="s">
        <v>2628</v>
      </c>
      <c r="BK324" t="s">
        <v>98</v>
      </c>
      <c r="BL324" t="s">
        <v>2629</v>
      </c>
      <c r="BM324" t="s">
        <v>5473</v>
      </c>
      <c r="BN324" t="s">
        <v>74</v>
      </c>
      <c r="BO324" t="s">
        <v>74</v>
      </c>
      <c r="BP324" t="s">
        <v>74</v>
      </c>
      <c r="BQ324" t="s">
        <v>74</v>
      </c>
      <c r="BR324" t="s">
        <v>101</v>
      </c>
      <c r="BS324" t="s">
        <v>5474</v>
      </c>
      <c r="BT324" t="str">
        <f>HYPERLINK("https%3A%2F%2Fwww.webofscience.com%2Fwos%2Fwoscc%2Ffull-record%2FWOS:000233941100003","View Full Record in Web of Science")</f>
        <v>View Full Record in Web of Science</v>
      </c>
    </row>
    <row r="325" spans="1:72" x14ac:dyDescent="0.15">
      <c r="A325" t="s">
        <v>72</v>
      </c>
      <c r="B325" t="s">
        <v>5475</v>
      </c>
      <c r="C325" t="s">
        <v>74</v>
      </c>
      <c r="D325" t="s">
        <v>74</v>
      </c>
      <c r="E325" t="s">
        <v>74</v>
      </c>
      <c r="F325" t="s">
        <v>5475</v>
      </c>
      <c r="G325" t="s">
        <v>74</v>
      </c>
      <c r="H325" t="s">
        <v>74</v>
      </c>
      <c r="I325" t="s">
        <v>5476</v>
      </c>
      <c r="J325" t="s">
        <v>5477</v>
      </c>
      <c r="K325" t="s">
        <v>74</v>
      </c>
      <c r="L325" t="s">
        <v>74</v>
      </c>
      <c r="M325" t="s">
        <v>77</v>
      </c>
      <c r="N325" t="s">
        <v>78</v>
      </c>
      <c r="O325" t="s">
        <v>74</v>
      </c>
      <c r="P325" t="s">
        <v>74</v>
      </c>
      <c r="Q325" t="s">
        <v>74</v>
      </c>
      <c r="R325" t="s">
        <v>74</v>
      </c>
      <c r="S325" t="s">
        <v>74</v>
      </c>
      <c r="T325" t="s">
        <v>5478</v>
      </c>
      <c r="U325" t="s">
        <v>5479</v>
      </c>
      <c r="V325" t="s">
        <v>5480</v>
      </c>
      <c r="W325" t="s">
        <v>5481</v>
      </c>
      <c r="X325" t="s">
        <v>5482</v>
      </c>
      <c r="Y325" t="s">
        <v>5483</v>
      </c>
      <c r="Z325" t="s">
        <v>5484</v>
      </c>
      <c r="AA325" t="s">
        <v>74</v>
      </c>
      <c r="AB325" t="s">
        <v>74</v>
      </c>
      <c r="AC325" t="s">
        <v>74</v>
      </c>
      <c r="AD325" t="s">
        <v>74</v>
      </c>
      <c r="AE325" t="s">
        <v>74</v>
      </c>
      <c r="AF325" t="s">
        <v>74</v>
      </c>
      <c r="AG325">
        <v>27</v>
      </c>
      <c r="AH325">
        <v>2</v>
      </c>
      <c r="AI325">
        <v>2</v>
      </c>
      <c r="AJ325">
        <v>0</v>
      </c>
      <c r="AK325">
        <v>4</v>
      </c>
      <c r="AL325" t="s">
        <v>5485</v>
      </c>
      <c r="AM325" t="s">
        <v>5486</v>
      </c>
      <c r="AN325" t="s">
        <v>5487</v>
      </c>
      <c r="AO325" t="s">
        <v>5488</v>
      </c>
      <c r="AP325" t="s">
        <v>74</v>
      </c>
      <c r="AQ325" t="s">
        <v>74</v>
      </c>
      <c r="AR325" t="s">
        <v>5489</v>
      </c>
      <c r="AS325" t="s">
        <v>5490</v>
      </c>
      <c r="AT325" t="s">
        <v>5491</v>
      </c>
      <c r="AU325">
        <v>2005</v>
      </c>
      <c r="AV325">
        <v>89</v>
      </c>
      <c r="AW325">
        <v>11</v>
      </c>
      <c r="AX325" t="s">
        <v>74</v>
      </c>
      <c r="AY325" t="s">
        <v>74</v>
      </c>
      <c r="AZ325" t="s">
        <v>74</v>
      </c>
      <c r="BA325" t="s">
        <v>74</v>
      </c>
      <c r="BB325">
        <v>1917</v>
      </c>
      <c r="BC325">
        <v>1922</v>
      </c>
      <c r="BD325" t="s">
        <v>74</v>
      </c>
      <c r="BE325" t="s">
        <v>74</v>
      </c>
      <c r="BF325" t="s">
        <v>74</v>
      </c>
      <c r="BG325" t="s">
        <v>74</v>
      </c>
      <c r="BH325" t="s">
        <v>74</v>
      </c>
      <c r="BI325">
        <v>6</v>
      </c>
      <c r="BJ325" t="s">
        <v>3495</v>
      </c>
      <c r="BK325" t="s">
        <v>98</v>
      </c>
      <c r="BL325" t="s">
        <v>3496</v>
      </c>
      <c r="BM325" t="s">
        <v>5492</v>
      </c>
      <c r="BN325" t="s">
        <v>74</v>
      </c>
      <c r="BO325" t="s">
        <v>74</v>
      </c>
      <c r="BP325" t="s">
        <v>74</v>
      </c>
      <c r="BQ325" t="s">
        <v>74</v>
      </c>
      <c r="BR325" t="s">
        <v>101</v>
      </c>
      <c r="BS325" t="s">
        <v>5493</v>
      </c>
      <c r="BT325" t="str">
        <f>HYPERLINK("https%3A%2F%2Fwww.webofscience.com%2Fwos%2Fwoscc%2Ffull-record%2FWOS:000234089000028","View Full Record in Web of Science")</f>
        <v>View Full Record in Web of Science</v>
      </c>
    </row>
    <row r="326" spans="1:72" x14ac:dyDescent="0.15">
      <c r="A326" t="s">
        <v>72</v>
      </c>
      <c r="B326" t="s">
        <v>5494</v>
      </c>
      <c r="C326" t="s">
        <v>74</v>
      </c>
      <c r="D326" t="s">
        <v>74</v>
      </c>
      <c r="E326" t="s">
        <v>74</v>
      </c>
      <c r="F326" t="s">
        <v>5494</v>
      </c>
      <c r="G326" t="s">
        <v>74</v>
      </c>
      <c r="H326" t="s">
        <v>74</v>
      </c>
      <c r="I326" t="s">
        <v>5495</v>
      </c>
      <c r="J326" t="s">
        <v>5134</v>
      </c>
      <c r="K326" t="s">
        <v>74</v>
      </c>
      <c r="L326" t="s">
        <v>74</v>
      </c>
      <c r="M326" t="s">
        <v>77</v>
      </c>
      <c r="N326" t="s">
        <v>78</v>
      </c>
      <c r="O326" t="s">
        <v>74</v>
      </c>
      <c r="P326" t="s">
        <v>74</v>
      </c>
      <c r="Q326" t="s">
        <v>74</v>
      </c>
      <c r="R326" t="s">
        <v>74</v>
      </c>
      <c r="S326" t="s">
        <v>74</v>
      </c>
      <c r="T326" t="s">
        <v>74</v>
      </c>
      <c r="U326" t="s">
        <v>5496</v>
      </c>
      <c r="V326" t="s">
        <v>5497</v>
      </c>
      <c r="W326" t="s">
        <v>5498</v>
      </c>
      <c r="X326" t="s">
        <v>5499</v>
      </c>
      <c r="Y326" t="s">
        <v>5500</v>
      </c>
      <c r="Z326" t="s">
        <v>5501</v>
      </c>
      <c r="AA326" t="s">
        <v>5502</v>
      </c>
      <c r="AB326" t="s">
        <v>74</v>
      </c>
      <c r="AC326" t="s">
        <v>74</v>
      </c>
      <c r="AD326" t="s">
        <v>74</v>
      </c>
      <c r="AE326" t="s">
        <v>74</v>
      </c>
      <c r="AF326" t="s">
        <v>74</v>
      </c>
      <c r="AG326">
        <v>11</v>
      </c>
      <c r="AH326">
        <v>21</v>
      </c>
      <c r="AI326">
        <v>21</v>
      </c>
      <c r="AJ326">
        <v>0</v>
      </c>
      <c r="AK326">
        <v>5</v>
      </c>
      <c r="AL326" t="s">
        <v>4487</v>
      </c>
      <c r="AM326" t="s">
        <v>2541</v>
      </c>
      <c r="AN326" t="s">
        <v>4488</v>
      </c>
      <c r="AO326" t="s">
        <v>5142</v>
      </c>
      <c r="AP326" t="s">
        <v>74</v>
      </c>
      <c r="AQ326" t="s">
        <v>74</v>
      </c>
      <c r="AR326" t="s">
        <v>5144</v>
      </c>
      <c r="AS326" t="s">
        <v>5145</v>
      </c>
      <c r="AT326" t="s">
        <v>5491</v>
      </c>
      <c r="AU326">
        <v>2005</v>
      </c>
      <c r="AV326">
        <v>32</v>
      </c>
      <c r="AW326">
        <v>23</v>
      </c>
      <c r="AX326" t="s">
        <v>74</v>
      </c>
      <c r="AY326" t="s">
        <v>74</v>
      </c>
      <c r="AZ326" t="s">
        <v>74</v>
      </c>
      <c r="BA326" t="s">
        <v>74</v>
      </c>
      <c r="BB326" t="s">
        <v>74</v>
      </c>
      <c r="BC326" t="s">
        <v>74</v>
      </c>
      <c r="BD326" t="s">
        <v>5503</v>
      </c>
      <c r="BE326" t="s">
        <v>5504</v>
      </c>
      <c r="BF326" t="str">
        <f>HYPERLINK("http://dx.doi.org/10.1029/2005GL024242","http://dx.doi.org/10.1029/2005GL024242")</f>
        <v>http://dx.doi.org/10.1029/2005GL024242</v>
      </c>
      <c r="BG326" t="s">
        <v>74</v>
      </c>
      <c r="BH326" t="s">
        <v>74</v>
      </c>
      <c r="BI326">
        <v>4</v>
      </c>
      <c r="BJ326" t="s">
        <v>1129</v>
      </c>
      <c r="BK326" t="s">
        <v>98</v>
      </c>
      <c r="BL326" t="s">
        <v>1130</v>
      </c>
      <c r="BM326" t="s">
        <v>5505</v>
      </c>
      <c r="BN326" t="s">
        <v>74</v>
      </c>
      <c r="BO326" t="s">
        <v>5301</v>
      </c>
      <c r="BP326" t="s">
        <v>74</v>
      </c>
      <c r="BQ326" t="s">
        <v>74</v>
      </c>
      <c r="BR326" t="s">
        <v>101</v>
      </c>
      <c r="BS326" t="s">
        <v>5506</v>
      </c>
      <c r="BT326" t="str">
        <f>HYPERLINK("https%3A%2F%2Fwww.webofscience.com%2Fwos%2Fwoscc%2Ffull-record%2FWOS:000234247500004","View Full Record in Web of Science")</f>
        <v>View Full Record in Web of Science</v>
      </c>
    </row>
    <row r="327" spans="1:72" x14ac:dyDescent="0.15">
      <c r="A327" t="s">
        <v>72</v>
      </c>
      <c r="B327" t="s">
        <v>5507</v>
      </c>
      <c r="C327" t="s">
        <v>74</v>
      </c>
      <c r="D327" t="s">
        <v>74</v>
      </c>
      <c r="E327" t="s">
        <v>74</v>
      </c>
      <c r="F327" t="s">
        <v>5507</v>
      </c>
      <c r="G327" t="s">
        <v>74</v>
      </c>
      <c r="H327" t="s">
        <v>74</v>
      </c>
      <c r="I327" t="s">
        <v>5508</v>
      </c>
      <c r="J327" t="s">
        <v>5509</v>
      </c>
      <c r="K327" t="s">
        <v>74</v>
      </c>
      <c r="L327" t="s">
        <v>74</v>
      </c>
      <c r="M327" t="s">
        <v>77</v>
      </c>
      <c r="N327" t="s">
        <v>78</v>
      </c>
      <c r="O327" t="s">
        <v>74</v>
      </c>
      <c r="P327" t="s">
        <v>74</v>
      </c>
      <c r="Q327" t="s">
        <v>74</v>
      </c>
      <c r="R327" t="s">
        <v>74</v>
      </c>
      <c r="S327" t="s">
        <v>74</v>
      </c>
      <c r="T327" t="s">
        <v>74</v>
      </c>
      <c r="U327" t="s">
        <v>5510</v>
      </c>
      <c r="V327" t="s">
        <v>5511</v>
      </c>
      <c r="W327" t="s">
        <v>5512</v>
      </c>
      <c r="X327" t="s">
        <v>5513</v>
      </c>
      <c r="Y327" t="s">
        <v>5514</v>
      </c>
      <c r="Z327" t="s">
        <v>5515</v>
      </c>
      <c r="AA327" t="s">
        <v>74</v>
      </c>
      <c r="AB327" t="s">
        <v>5516</v>
      </c>
      <c r="AC327" t="s">
        <v>74</v>
      </c>
      <c r="AD327" t="s">
        <v>74</v>
      </c>
      <c r="AE327" t="s">
        <v>74</v>
      </c>
      <c r="AF327" t="s">
        <v>74</v>
      </c>
      <c r="AG327">
        <v>33</v>
      </c>
      <c r="AH327">
        <v>22</v>
      </c>
      <c r="AI327">
        <v>22</v>
      </c>
      <c r="AJ327">
        <v>0</v>
      </c>
      <c r="AK327">
        <v>15</v>
      </c>
      <c r="AL327" t="s">
        <v>4487</v>
      </c>
      <c r="AM327" t="s">
        <v>2541</v>
      </c>
      <c r="AN327" t="s">
        <v>4488</v>
      </c>
      <c r="AO327" t="s">
        <v>5517</v>
      </c>
      <c r="AP327" t="s">
        <v>5518</v>
      </c>
      <c r="AQ327" t="s">
        <v>74</v>
      </c>
      <c r="AR327" t="s">
        <v>5519</v>
      </c>
      <c r="AS327" t="s">
        <v>5520</v>
      </c>
      <c r="AT327" t="s">
        <v>5491</v>
      </c>
      <c r="AU327">
        <v>2005</v>
      </c>
      <c r="AV327">
        <v>110</v>
      </c>
      <c r="AW327" t="s">
        <v>5521</v>
      </c>
      <c r="AX327" t="s">
        <v>74</v>
      </c>
      <c r="AY327" t="s">
        <v>74</v>
      </c>
      <c r="AZ327" t="s">
        <v>74</v>
      </c>
      <c r="BA327" t="s">
        <v>74</v>
      </c>
      <c r="BB327" t="s">
        <v>74</v>
      </c>
      <c r="BC327" t="s">
        <v>74</v>
      </c>
      <c r="BD327" t="s">
        <v>5522</v>
      </c>
      <c r="BE327" t="s">
        <v>5523</v>
      </c>
      <c r="BF327" t="str">
        <f>HYPERLINK("http://dx.doi.org/10.1029/2005JE002463","http://dx.doi.org/10.1029/2005JE002463")</f>
        <v>http://dx.doi.org/10.1029/2005JE002463</v>
      </c>
      <c r="BG327" t="s">
        <v>74</v>
      </c>
      <c r="BH327" t="s">
        <v>74</v>
      </c>
      <c r="BI327">
        <v>11</v>
      </c>
      <c r="BJ327" t="s">
        <v>1348</v>
      </c>
      <c r="BK327" t="s">
        <v>98</v>
      </c>
      <c r="BL327" t="s">
        <v>1348</v>
      </c>
      <c r="BM327" t="s">
        <v>5524</v>
      </c>
      <c r="BN327" t="s">
        <v>74</v>
      </c>
      <c r="BO327" t="s">
        <v>2728</v>
      </c>
      <c r="BP327" t="s">
        <v>74</v>
      </c>
      <c r="BQ327" t="s">
        <v>74</v>
      </c>
      <c r="BR327" t="s">
        <v>101</v>
      </c>
      <c r="BS327" t="s">
        <v>5525</v>
      </c>
      <c r="BT327" t="str">
        <f>HYPERLINK("https%3A%2F%2Fwww.webofscience.com%2Fwos%2Fwoscc%2Ffull-record%2FWOS:000234249300002","View Full Record in Web of Science")</f>
        <v>View Full Record in Web of Science</v>
      </c>
    </row>
    <row r="328" spans="1:72" x14ac:dyDescent="0.15">
      <c r="A328" t="s">
        <v>72</v>
      </c>
      <c r="B328" t="s">
        <v>5526</v>
      </c>
      <c r="C328" t="s">
        <v>74</v>
      </c>
      <c r="D328" t="s">
        <v>74</v>
      </c>
      <c r="E328" t="s">
        <v>74</v>
      </c>
      <c r="F328" t="s">
        <v>5526</v>
      </c>
      <c r="G328" t="s">
        <v>74</v>
      </c>
      <c r="H328" t="s">
        <v>74</v>
      </c>
      <c r="I328" t="s">
        <v>5527</v>
      </c>
      <c r="J328" t="s">
        <v>5134</v>
      </c>
      <c r="K328" t="s">
        <v>74</v>
      </c>
      <c r="L328" t="s">
        <v>74</v>
      </c>
      <c r="M328" t="s">
        <v>77</v>
      </c>
      <c r="N328" t="s">
        <v>78</v>
      </c>
      <c r="O328" t="s">
        <v>74</v>
      </c>
      <c r="P328" t="s">
        <v>74</v>
      </c>
      <c r="Q328" t="s">
        <v>74</v>
      </c>
      <c r="R328" t="s">
        <v>74</v>
      </c>
      <c r="S328" t="s">
        <v>74</v>
      </c>
      <c r="T328" t="s">
        <v>74</v>
      </c>
      <c r="U328" t="s">
        <v>5528</v>
      </c>
      <c r="V328" t="s">
        <v>5529</v>
      </c>
      <c r="W328" t="s">
        <v>5530</v>
      </c>
      <c r="X328" t="s">
        <v>5531</v>
      </c>
      <c r="Y328" t="s">
        <v>5532</v>
      </c>
      <c r="Z328" t="s">
        <v>5140</v>
      </c>
      <c r="AA328" t="s">
        <v>5533</v>
      </c>
      <c r="AB328" t="s">
        <v>5534</v>
      </c>
      <c r="AC328" t="s">
        <v>74</v>
      </c>
      <c r="AD328" t="s">
        <v>74</v>
      </c>
      <c r="AE328" t="s">
        <v>74</v>
      </c>
      <c r="AF328" t="s">
        <v>74</v>
      </c>
      <c r="AG328">
        <v>9</v>
      </c>
      <c r="AH328">
        <v>0</v>
      </c>
      <c r="AI328">
        <v>0</v>
      </c>
      <c r="AJ328">
        <v>0</v>
      </c>
      <c r="AK328">
        <v>2</v>
      </c>
      <c r="AL328" t="s">
        <v>4487</v>
      </c>
      <c r="AM328" t="s">
        <v>2541</v>
      </c>
      <c r="AN328" t="s">
        <v>4488</v>
      </c>
      <c r="AO328" t="s">
        <v>5142</v>
      </c>
      <c r="AP328" t="s">
        <v>74</v>
      </c>
      <c r="AQ328" t="s">
        <v>74</v>
      </c>
      <c r="AR328" t="s">
        <v>5144</v>
      </c>
      <c r="AS328" t="s">
        <v>5145</v>
      </c>
      <c r="AT328" t="s">
        <v>5535</v>
      </c>
      <c r="AU328">
        <v>2005</v>
      </c>
      <c r="AV328">
        <v>32</v>
      </c>
      <c r="AW328">
        <v>23</v>
      </c>
      <c r="AX328" t="s">
        <v>74</v>
      </c>
      <c r="AY328" t="s">
        <v>74</v>
      </c>
      <c r="AZ328" t="s">
        <v>74</v>
      </c>
      <c r="BA328" t="s">
        <v>74</v>
      </c>
      <c r="BB328" t="s">
        <v>74</v>
      </c>
      <c r="BC328" t="s">
        <v>74</v>
      </c>
      <c r="BD328" t="s">
        <v>5536</v>
      </c>
      <c r="BE328" t="s">
        <v>5537</v>
      </c>
      <c r="BF328" t="str">
        <f>HYPERLINK("http://dx.doi.org/10.1029/2005GL024429","http://dx.doi.org/10.1029/2005GL024429")</f>
        <v>http://dx.doi.org/10.1029/2005GL024429</v>
      </c>
      <c r="BG328" t="s">
        <v>74</v>
      </c>
      <c r="BH328" t="s">
        <v>74</v>
      </c>
      <c r="BI328">
        <v>4</v>
      </c>
      <c r="BJ328" t="s">
        <v>1129</v>
      </c>
      <c r="BK328" t="s">
        <v>98</v>
      </c>
      <c r="BL328" t="s">
        <v>1130</v>
      </c>
      <c r="BM328" t="s">
        <v>5538</v>
      </c>
      <c r="BN328" t="s">
        <v>74</v>
      </c>
      <c r="BO328" t="s">
        <v>1900</v>
      </c>
      <c r="BP328" t="s">
        <v>74</v>
      </c>
      <c r="BQ328" t="s">
        <v>74</v>
      </c>
      <c r="BR328" t="s">
        <v>101</v>
      </c>
      <c r="BS328" t="s">
        <v>5539</v>
      </c>
      <c r="BT328" t="str">
        <f>HYPERLINK("https%3A%2F%2Fwww.webofscience.com%2Fwos%2Fwoscc%2Ffull-record%2FWOS:000234247200003","View Full Record in Web of Science")</f>
        <v>View Full Record in Web of Science</v>
      </c>
    </row>
    <row r="329" spans="1:72" x14ac:dyDescent="0.15">
      <c r="A329" t="s">
        <v>72</v>
      </c>
      <c r="B329" t="s">
        <v>5540</v>
      </c>
      <c r="C329" t="s">
        <v>74</v>
      </c>
      <c r="D329" t="s">
        <v>74</v>
      </c>
      <c r="E329" t="s">
        <v>74</v>
      </c>
      <c r="F329" t="s">
        <v>5540</v>
      </c>
      <c r="G329" t="s">
        <v>74</v>
      </c>
      <c r="H329" t="s">
        <v>74</v>
      </c>
      <c r="I329" t="s">
        <v>5541</v>
      </c>
      <c r="J329" t="s">
        <v>5134</v>
      </c>
      <c r="K329" t="s">
        <v>74</v>
      </c>
      <c r="L329" t="s">
        <v>74</v>
      </c>
      <c r="M329" t="s">
        <v>77</v>
      </c>
      <c r="N329" t="s">
        <v>78</v>
      </c>
      <c r="O329" t="s">
        <v>74</v>
      </c>
      <c r="P329" t="s">
        <v>74</v>
      </c>
      <c r="Q329" t="s">
        <v>74</v>
      </c>
      <c r="R329" t="s">
        <v>74</v>
      </c>
      <c r="S329" t="s">
        <v>74</v>
      </c>
      <c r="T329" t="s">
        <v>74</v>
      </c>
      <c r="U329" t="s">
        <v>5542</v>
      </c>
      <c r="V329" t="s">
        <v>5543</v>
      </c>
      <c r="W329" t="s">
        <v>5544</v>
      </c>
      <c r="X329" t="s">
        <v>5545</v>
      </c>
      <c r="Y329" t="s">
        <v>5546</v>
      </c>
      <c r="Z329" t="s">
        <v>5547</v>
      </c>
      <c r="AA329" t="s">
        <v>5548</v>
      </c>
      <c r="AB329" t="s">
        <v>5549</v>
      </c>
      <c r="AC329" t="s">
        <v>74</v>
      </c>
      <c r="AD329" t="s">
        <v>74</v>
      </c>
      <c r="AE329" t="s">
        <v>74</v>
      </c>
      <c r="AF329" t="s">
        <v>74</v>
      </c>
      <c r="AG329">
        <v>26</v>
      </c>
      <c r="AH329">
        <v>61</v>
      </c>
      <c r="AI329">
        <v>68</v>
      </c>
      <c r="AJ329">
        <v>0</v>
      </c>
      <c r="AK329">
        <v>10</v>
      </c>
      <c r="AL329" t="s">
        <v>4487</v>
      </c>
      <c r="AM329" t="s">
        <v>2541</v>
      </c>
      <c r="AN329" t="s">
        <v>4488</v>
      </c>
      <c r="AO329" t="s">
        <v>5142</v>
      </c>
      <c r="AP329" t="s">
        <v>5143</v>
      </c>
      <c r="AQ329" t="s">
        <v>74</v>
      </c>
      <c r="AR329" t="s">
        <v>5144</v>
      </c>
      <c r="AS329" t="s">
        <v>5145</v>
      </c>
      <c r="AT329" t="s">
        <v>5550</v>
      </c>
      <c r="AU329">
        <v>2005</v>
      </c>
      <c r="AV329">
        <v>32</v>
      </c>
      <c r="AW329">
        <v>23</v>
      </c>
      <c r="AX329" t="s">
        <v>74</v>
      </c>
      <c r="AY329" t="s">
        <v>74</v>
      </c>
      <c r="AZ329" t="s">
        <v>74</v>
      </c>
      <c r="BA329" t="s">
        <v>74</v>
      </c>
      <c r="BB329" t="s">
        <v>74</v>
      </c>
      <c r="BC329" t="s">
        <v>74</v>
      </c>
      <c r="BD329" t="s">
        <v>5551</v>
      </c>
      <c r="BE329" t="s">
        <v>5552</v>
      </c>
      <c r="BF329" t="str">
        <f>HYPERLINK("http://dx.doi.org/10.1029/2005GL023901","http://dx.doi.org/10.1029/2005GL023901")</f>
        <v>http://dx.doi.org/10.1029/2005GL023901</v>
      </c>
      <c r="BG329" t="s">
        <v>74</v>
      </c>
      <c r="BH329" t="s">
        <v>74</v>
      </c>
      <c r="BI329">
        <v>4</v>
      </c>
      <c r="BJ329" t="s">
        <v>1129</v>
      </c>
      <c r="BK329" t="s">
        <v>98</v>
      </c>
      <c r="BL329" t="s">
        <v>1130</v>
      </c>
      <c r="BM329" t="s">
        <v>5553</v>
      </c>
      <c r="BN329" t="s">
        <v>74</v>
      </c>
      <c r="BO329" t="s">
        <v>5301</v>
      </c>
      <c r="BP329" t="s">
        <v>74</v>
      </c>
      <c r="BQ329" t="s">
        <v>74</v>
      </c>
      <c r="BR329" t="s">
        <v>101</v>
      </c>
      <c r="BS329" t="s">
        <v>5554</v>
      </c>
      <c r="BT329" t="str">
        <f>HYPERLINK("https%3A%2F%2Fwww.webofscience.com%2Fwos%2Fwoscc%2Ffull-record%2FWOS:000234247000001","View Full Record in Web of Science")</f>
        <v>View Full Record in Web of Science</v>
      </c>
    </row>
    <row r="330" spans="1:72" x14ac:dyDescent="0.15">
      <c r="A330" t="s">
        <v>72</v>
      </c>
      <c r="B330" t="s">
        <v>5555</v>
      </c>
      <c r="C330" t="s">
        <v>74</v>
      </c>
      <c r="D330" t="s">
        <v>74</v>
      </c>
      <c r="E330" t="s">
        <v>74</v>
      </c>
      <c r="F330" t="s">
        <v>5555</v>
      </c>
      <c r="G330" t="s">
        <v>74</v>
      </c>
      <c r="H330" t="s">
        <v>74</v>
      </c>
      <c r="I330" t="s">
        <v>5556</v>
      </c>
      <c r="J330" t="s">
        <v>5251</v>
      </c>
      <c r="K330" t="s">
        <v>74</v>
      </c>
      <c r="L330" t="s">
        <v>74</v>
      </c>
      <c r="M330" t="s">
        <v>77</v>
      </c>
      <c r="N330" t="s">
        <v>78</v>
      </c>
      <c r="O330" t="s">
        <v>74</v>
      </c>
      <c r="P330" t="s">
        <v>74</v>
      </c>
      <c r="Q330" t="s">
        <v>74</v>
      </c>
      <c r="R330" t="s">
        <v>74</v>
      </c>
      <c r="S330" t="s">
        <v>74</v>
      </c>
      <c r="T330" t="s">
        <v>74</v>
      </c>
      <c r="U330" t="s">
        <v>5557</v>
      </c>
      <c r="V330" t="s">
        <v>5558</v>
      </c>
      <c r="W330" t="s">
        <v>5559</v>
      </c>
      <c r="X330" t="s">
        <v>5560</v>
      </c>
      <c r="Y330" t="s">
        <v>5561</v>
      </c>
      <c r="Z330" t="s">
        <v>5562</v>
      </c>
      <c r="AA330" t="s">
        <v>74</v>
      </c>
      <c r="AB330" t="s">
        <v>5563</v>
      </c>
      <c r="AC330" t="s">
        <v>74</v>
      </c>
      <c r="AD330" t="s">
        <v>74</v>
      </c>
      <c r="AE330" t="s">
        <v>74</v>
      </c>
      <c r="AF330" t="s">
        <v>74</v>
      </c>
      <c r="AG330">
        <v>51</v>
      </c>
      <c r="AH330">
        <v>90</v>
      </c>
      <c r="AI330">
        <v>93</v>
      </c>
      <c r="AJ330">
        <v>1</v>
      </c>
      <c r="AK330">
        <v>33</v>
      </c>
      <c r="AL330" t="s">
        <v>4487</v>
      </c>
      <c r="AM330" t="s">
        <v>2541</v>
      </c>
      <c r="AN330" t="s">
        <v>4488</v>
      </c>
      <c r="AO330" t="s">
        <v>5260</v>
      </c>
      <c r="AP330" t="s">
        <v>5261</v>
      </c>
      <c r="AQ330" t="s">
        <v>74</v>
      </c>
      <c r="AR330" t="s">
        <v>5262</v>
      </c>
      <c r="AS330" t="s">
        <v>5263</v>
      </c>
      <c r="AT330" t="s">
        <v>5550</v>
      </c>
      <c r="AU330">
        <v>2005</v>
      </c>
      <c r="AV330">
        <v>110</v>
      </c>
      <c r="AW330" t="s">
        <v>5264</v>
      </c>
      <c r="AX330" t="s">
        <v>74</v>
      </c>
      <c r="AY330" t="s">
        <v>74</v>
      </c>
      <c r="AZ330" t="s">
        <v>74</v>
      </c>
      <c r="BA330" t="s">
        <v>74</v>
      </c>
      <c r="BB330" t="s">
        <v>74</v>
      </c>
      <c r="BC330" t="s">
        <v>74</v>
      </c>
      <c r="BD330" t="s">
        <v>5564</v>
      </c>
      <c r="BE330" t="s">
        <v>5565</v>
      </c>
      <c r="BF330" t="str">
        <f>HYPERLINK("http://dx.doi.org/10.1029/2005JC002939","http://dx.doi.org/10.1029/2005JC002939")</f>
        <v>http://dx.doi.org/10.1029/2005JC002939</v>
      </c>
      <c r="BG330" t="s">
        <v>74</v>
      </c>
      <c r="BH330" t="s">
        <v>74</v>
      </c>
      <c r="BI330">
        <v>18</v>
      </c>
      <c r="BJ330" t="s">
        <v>629</v>
      </c>
      <c r="BK330" t="s">
        <v>98</v>
      </c>
      <c r="BL330" t="s">
        <v>629</v>
      </c>
      <c r="BM330" t="s">
        <v>5566</v>
      </c>
      <c r="BN330" t="s">
        <v>74</v>
      </c>
      <c r="BO330" t="s">
        <v>2728</v>
      </c>
      <c r="BP330" t="s">
        <v>74</v>
      </c>
      <c r="BQ330" t="s">
        <v>74</v>
      </c>
      <c r="BR330" t="s">
        <v>101</v>
      </c>
      <c r="BS330" t="s">
        <v>5567</v>
      </c>
      <c r="BT330" t="str">
        <f>HYPERLINK("https%3A%2F%2Fwww.webofscience.com%2Fwos%2Fwoscc%2Ffull-record%2FWOS:000234248800002","View Full Record in Web of Science")</f>
        <v>View Full Record in Web of Science</v>
      </c>
    </row>
    <row r="331" spans="1:72" x14ac:dyDescent="0.15">
      <c r="A331" t="s">
        <v>72</v>
      </c>
      <c r="B331" t="s">
        <v>5568</v>
      </c>
      <c r="C331" t="s">
        <v>74</v>
      </c>
      <c r="D331" t="s">
        <v>74</v>
      </c>
      <c r="E331" t="s">
        <v>74</v>
      </c>
      <c r="F331" t="s">
        <v>5568</v>
      </c>
      <c r="G331" t="s">
        <v>74</v>
      </c>
      <c r="H331" t="s">
        <v>74</v>
      </c>
      <c r="I331" t="s">
        <v>5569</v>
      </c>
      <c r="J331" t="s">
        <v>5134</v>
      </c>
      <c r="K331" t="s">
        <v>74</v>
      </c>
      <c r="L331" t="s">
        <v>74</v>
      </c>
      <c r="M331" t="s">
        <v>77</v>
      </c>
      <c r="N331" t="s">
        <v>78</v>
      </c>
      <c r="O331" t="s">
        <v>74</v>
      </c>
      <c r="P331" t="s">
        <v>74</v>
      </c>
      <c r="Q331" t="s">
        <v>74</v>
      </c>
      <c r="R331" t="s">
        <v>74</v>
      </c>
      <c r="S331" t="s">
        <v>74</v>
      </c>
      <c r="T331" t="s">
        <v>74</v>
      </c>
      <c r="U331" t="s">
        <v>5570</v>
      </c>
      <c r="V331" t="s">
        <v>5571</v>
      </c>
      <c r="W331" t="s">
        <v>5572</v>
      </c>
      <c r="X331" t="s">
        <v>5573</v>
      </c>
      <c r="Y331" t="s">
        <v>5574</v>
      </c>
      <c r="Z331" t="s">
        <v>5575</v>
      </c>
      <c r="AA331" t="s">
        <v>5576</v>
      </c>
      <c r="AB331" t="s">
        <v>5577</v>
      </c>
      <c r="AC331" t="s">
        <v>74</v>
      </c>
      <c r="AD331" t="s">
        <v>74</v>
      </c>
      <c r="AE331" t="s">
        <v>74</v>
      </c>
      <c r="AF331" t="s">
        <v>74</v>
      </c>
      <c r="AG331">
        <v>17</v>
      </c>
      <c r="AH331">
        <v>34</v>
      </c>
      <c r="AI331">
        <v>37</v>
      </c>
      <c r="AJ331">
        <v>2</v>
      </c>
      <c r="AK331">
        <v>9</v>
      </c>
      <c r="AL331" t="s">
        <v>4487</v>
      </c>
      <c r="AM331" t="s">
        <v>2541</v>
      </c>
      <c r="AN331" t="s">
        <v>4488</v>
      </c>
      <c r="AO331" t="s">
        <v>5142</v>
      </c>
      <c r="AP331" t="s">
        <v>5143</v>
      </c>
      <c r="AQ331" t="s">
        <v>74</v>
      </c>
      <c r="AR331" t="s">
        <v>5144</v>
      </c>
      <c r="AS331" t="s">
        <v>5145</v>
      </c>
      <c r="AT331" t="s">
        <v>5578</v>
      </c>
      <c r="AU331">
        <v>2005</v>
      </c>
      <c r="AV331">
        <v>32</v>
      </c>
      <c r="AW331">
        <v>23</v>
      </c>
      <c r="AX331" t="s">
        <v>74</v>
      </c>
      <c r="AY331" t="s">
        <v>74</v>
      </c>
      <c r="AZ331" t="s">
        <v>74</v>
      </c>
      <c r="BA331" t="s">
        <v>74</v>
      </c>
      <c r="BB331" t="s">
        <v>74</v>
      </c>
      <c r="BC331" t="s">
        <v>74</v>
      </c>
      <c r="BD331" t="s">
        <v>5579</v>
      </c>
      <c r="BE331" t="s">
        <v>5580</v>
      </c>
      <c r="BF331" t="str">
        <f>HYPERLINK("http://dx.doi.org/10.1029/2005GL024298","http://dx.doi.org/10.1029/2005GL024298")</f>
        <v>http://dx.doi.org/10.1029/2005GL024298</v>
      </c>
      <c r="BG331" t="s">
        <v>74</v>
      </c>
      <c r="BH331" t="s">
        <v>74</v>
      </c>
      <c r="BI331">
        <v>5</v>
      </c>
      <c r="BJ331" t="s">
        <v>1129</v>
      </c>
      <c r="BK331" t="s">
        <v>98</v>
      </c>
      <c r="BL331" t="s">
        <v>1130</v>
      </c>
      <c r="BM331" t="s">
        <v>5581</v>
      </c>
      <c r="BN331" t="s">
        <v>74</v>
      </c>
      <c r="BO331" t="s">
        <v>1900</v>
      </c>
      <c r="BP331" t="s">
        <v>74</v>
      </c>
      <c r="BQ331" t="s">
        <v>74</v>
      </c>
      <c r="BR331" t="s">
        <v>101</v>
      </c>
      <c r="BS331" t="s">
        <v>5582</v>
      </c>
      <c r="BT331" t="str">
        <f>HYPERLINK("https%3A%2F%2Fwww.webofscience.com%2Fwos%2Fwoscc%2Ffull-record%2FWOS:000234246800006","View Full Record in Web of Science")</f>
        <v>View Full Record in Web of Science</v>
      </c>
    </row>
    <row r="332" spans="1:72" x14ac:dyDescent="0.15">
      <c r="A332" t="s">
        <v>72</v>
      </c>
      <c r="B332" t="s">
        <v>5583</v>
      </c>
      <c r="C332" t="s">
        <v>74</v>
      </c>
      <c r="D332" t="s">
        <v>74</v>
      </c>
      <c r="E332" t="s">
        <v>74</v>
      </c>
      <c r="F332" t="s">
        <v>5583</v>
      </c>
      <c r="G332" t="s">
        <v>74</v>
      </c>
      <c r="H332" t="s">
        <v>74</v>
      </c>
      <c r="I332" t="s">
        <v>5584</v>
      </c>
      <c r="J332" t="s">
        <v>5134</v>
      </c>
      <c r="K332" t="s">
        <v>74</v>
      </c>
      <c r="L332" t="s">
        <v>74</v>
      </c>
      <c r="M332" t="s">
        <v>77</v>
      </c>
      <c r="N332" t="s">
        <v>78</v>
      </c>
      <c r="O332" t="s">
        <v>74</v>
      </c>
      <c r="P332" t="s">
        <v>74</v>
      </c>
      <c r="Q332" t="s">
        <v>74</v>
      </c>
      <c r="R332" t="s">
        <v>74</v>
      </c>
      <c r="S332" t="s">
        <v>74</v>
      </c>
      <c r="T332" t="s">
        <v>74</v>
      </c>
      <c r="U332" t="s">
        <v>5585</v>
      </c>
      <c r="V332" t="s">
        <v>5586</v>
      </c>
      <c r="W332" t="s">
        <v>5587</v>
      </c>
      <c r="X332" t="s">
        <v>5588</v>
      </c>
      <c r="Y332" t="s">
        <v>5589</v>
      </c>
      <c r="Z332" t="s">
        <v>5590</v>
      </c>
      <c r="AA332" t="s">
        <v>5591</v>
      </c>
      <c r="AB332" t="s">
        <v>5592</v>
      </c>
      <c r="AC332" t="s">
        <v>74</v>
      </c>
      <c r="AD332" t="s">
        <v>74</v>
      </c>
      <c r="AE332" t="s">
        <v>74</v>
      </c>
      <c r="AF332" t="s">
        <v>74</v>
      </c>
      <c r="AG332">
        <v>22</v>
      </c>
      <c r="AH332">
        <v>20</v>
      </c>
      <c r="AI332">
        <v>23</v>
      </c>
      <c r="AJ332">
        <v>0</v>
      </c>
      <c r="AK332">
        <v>11</v>
      </c>
      <c r="AL332" t="s">
        <v>4487</v>
      </c>
      <c r="AM332" t="s">
        <v>2541</v>
      </c>
      <c r="AN332" t="s">
        <v>4488</v>
      </c>
      <c r="AO332" t="s">
        <v>5142</v>
      </c>
      <c r="AP332" t="s">
        <v>5143</v>
      </c>
      <c r="AQ332" t="s">
        <v>74</v>
      </c>
      <c r="AR332" t="s">
        <v>5144</v>
      </c>
      <c r="AS332" t="s">
        <v>5145</v>
      </c>
      <c r="AT332" t="s">
        <v>5578</v>
      </c>
      <c r="AU332">
        <v>2005</v>
      </c>
      <c r="AV332">
        <v>32</v>
      </c>
      <c r="AW332">
        <v>23</v>
      </c>
      <c r="AX332" t="s">
        <v>74</v>
      </c>
      <c r="AY332" t="s">
        <v>74</v>
      </c>
      <c r="AZ332" t="s">
        <v>74</v>
      </c>
      <c r="BA332" t="s">
        <v>74</v>
      </c>
      <c r="BB332" t="s">
        <v>74</v>
      </c>
      <c r="BC332" t="s">
        <v>74</v>
      </c>
      <c r="BD332" t="s">
        <v>5593</v>
      </c>
      <c r="BE332" t="s">
        <v>5594</v>
      </c>
      <c r="BF332" t="str">
        <f>HYPERLINK("http://dx.doi.org/10.1029/2005GL024328","http://dx.doi.org/10.1029/2005GL024328")</f>
        <v>http://dx.doi.org/10.1029/2005GL024328</v>
      </c>
      <c r="BG332" t="s">
        <v>74</v>
      </c>
      <c r="BH332" t="s">
        <v>74</v>
      </c>
      <c r="BI332">
        <v>4</v>
      </c>
      <c r="BJ332" t="s">
        <v>1129</v>
      </c>
      <c r="BK332" t="s">
        <v>98</v>
      </c>
      <c r="BL332" t="s">
        <v>1130</v>
      </c>
      <c r="BM332" t="s">
        <v>5581</v>
      </c>
      <c r="BN332" t="s">
        <v>74</v>
      </c>
      <c r="BO332" t="s">
        <v>722</v>
      </c>
      <c r="BP332" t="s">
        <v>74</v>
      </c>
      <c r="BQ332" t="s">
        <v>74</v>
      </c>
      <c r="BR332" t="s">
        <v>101</v>
      </c>
      <c r="BS332" t="s">
        <v>5595</v>
      </c>
      <c r="BT332" t="str">
        <f>HYPERLINK("https%3A%2F%2Fwww.webofscience.com%2Fwos%2Fwoscc%2Ffull-record%2FWOS:000234246800007","View Full Record in Web of Science")</f>
        <v>View Full Record in Web of Science</v>
      </c>
    </row>
    <row r="333" spans="1:72" x14ac:dyDescent="0.15">
      <c r="A333" t="s">
        <v>72</v>
      </c>
      <c r="B333" t="s">
        <v>5596</v>
      </c>
      <c r="C333" t="s">
        <v>74</v>
      </c>
      <c r="D333" t="s">
        <v>74</v>
      </c>
      <c r="E333" t="s">
        <v>74</v>
      </c>
      <c r="F333" t="s">
        <v>5596</v>
      </c>
      <c r="G333" t="s">
        <v>74</v>
      </c>
      <c r="H333" t="s">
        <v>74</v>
      </c>
      <c r="I333" t="s">
        <v>5597</v>
      </c>
      <c r="J333" t="s">
        <v>5112</v>
      </c>
      <c r="K333" t="s">
        <v>74</v>
      </c>
      <c r="L333" t="s">
        <v>74</v>
      </c>
      <c r="M333" t="s">
        <v>77</v>
      </c>
      <c r="N333" t="s">
        <v>78</v>
      </c>
      <c r="O333" t="s">
        <v>74</v>
      </c>
      <c r="P333" t="s">
        <v>74</v>
      </c>
      <c r="Q333" t="s">
        <v>74</v>
      </c>
      <c r="R333" t="s">
        <v>74</v>
      </c>
      <c r="S333" t="s">
        <v>74</v>
      </c>
      <c r="T333" t="s">
        <v>74</v>
      </c>
      <c r="U333" t="s">
        <v>5598</v>
      </c>
      <c r="V333" t="s">
        <v>5599</v>
      </c>
      <c r="W333" t="s">
        <v>5600</v>
      </c>
      <c r="X333" t="s">
        <v>5601</v>
      </c>
      <c r="Y333" t="s">
        <v>5602</v>
      </c>
      <c r="Z333" t="s">
        <v>5603</v>
      </c>
      <c r="AA333" t="s">
        <v>5604</v>
      </c>
      <c r="AB333" t="s">
        <v>5605</v>
      </c>
      <c r="AC333" t="s">
        <v>74</v>
      </c>
      <c r="AD333" t="s">
        <v>74</v>
      </c>
      <c r="AE333" t="s">
        <v>74</v>
      </c>
      <c r="AF333" t="s">
        <v>74</v>
      </c>
      <c r="AG333">
        <v>61</v>
      </c>
      <c r="AH333">
        <v>44</v>
      </c>
      <c r="AI333">
        <v>48</v>
      </c>
      <c r="AJ333">
        <v>0</v>
      </c>
      <c r="AK333">
        <v>14</v>
      </c>
      <c r="AL333" t="s">
        <v>4487</v>
      </c>
      <c r="AM333" t="s">
        <v>2541</v>
      </c>
      <c r="AN333" t="s">
        <v>4488</v>
      </c>
      <c r="AO333" t="s">
        <v>5121</v>
      </c>
      <c r="AP333" t="s">
        <v>5122</v>
      </c>
      <c r="AQ333" t="s">
        <v>74</v>
      </c>
      <c r="AR333" t="s">
        <v>5123</v>
      </c>
      <c r="AS333" t="s">
        <v>5124</v>
      </c>
      <c r="AT333" t="s">
        <v>5578</v>
      </c>
      <c r="AU333">
        <v>2005</v>
      </c>
      <c r="AV333">
        <v>19</v>
      </c>
      <c r="AW333">
        <v>4</v>
      </c>
      <c r="AX333" t="s">
        <v>74</v>
      </c>
      <c r="AY333" t="s">
        <v>74</v>
      </c>
      <c r="AZ333" t="s">
        <v>74</v>
      </c>
      <c r="BA333" t="s">
        <v>74</v>
      </c>
      <c r="BB333" t="s">
        <v>74</v>
      </c>
      <c r="BC333" t="s">
        <v>74</v>
      </c>
      <c r="BD333" t="s">
        <v>5606</v>
      </c>
      <c r="BE333" t="s">
        <v>5607</v>
      </c>
      <c r="BF333" t="str">
        <f>HYPERLINK("http://dx.doi.org/10.1029/2005GB002546","http://dx.doi.org/10.1029/2005GB002546")</f>
        <v>http://dx.doi.org/10.1029/2005GB002546</v>
      </c>
      <c r="BG333" t="s">
        <v>74</v>
      </c>
      <c r="BH333" t="s">
        <v>74</v>
      </c>
      <c r="BI333">
        <v>10</v>
      </c>
      <c r="BJ333" t="s">
        <v>5128</v>
      </c>
      <c r="BK333" t="s">
        <v>98</v>
      </c>
      <c r="BL333" t="s">
        <v>5129</v>
      </c>
      <c r="BM333" t="s">
        <v>5608</v>
      </c>
      <c r="BN333" t="s">
        <v>74</v>
      </c>
      <c r="BO333" t="s">
        <v>1900</v>
      </c>
      <c r="BP333" t="s">
        <v>74</v>
      </c>
      <c r="BQ333" t="s">
        <v>74</v>
      </c>
      <c r="BR333" t="s">
        <v>101</v>
      </c>
      <c r="BS333" t="s">
        <v>5609</v>
      </c>
      <c r="BT333" t="str">
        <f>HYPERLINK("https%3A%2F%2Fwww.webofscience.com%2Fwos%2Fwoscc%2Ffull-record%2FWOS:000234247800002","View Full Record in Web of Science")</f>
        <v>View Full Record in Web of Science</v>
      </c>
    </row>
    <row r="334" spans="1:72" x14ac:dyDescent="0.15">
      <c r="A334" t="s">
        <v>72</v>
      </c>
      <c r="B334" t="s">
        <v>5610</v>
      </c>
      <c r="C334" t="s">
        <v>74</v>
      </c>
      <c r="D334" t="s">
        <v>74</v>
      </c>
      <c r="E334" t="s">
        <v>74</v>
      </c>
      <c r="F334" t="s">
        <v>5610</v>
      </c>
      <c r="G334" t="s">
        <v>74</v>
      </c>
      <c r="H334" t="s">
        <v>74</v>
      </c>
      <c r="I334" t="s">
        <v>5611</v>
      </c>
      <c r="J334" t="s">
        <v>5612</v>
      </c>
      <c r="K334" t="s">
        <v>74</v>
      </c>
      <c r="L334" t="s">
        <v>74</v>
      </c>
      <c r="M334" t="s">
        <v>77</v>
      </c>
      <c r="N334" t="s">
        <v>78</v>
      </c>
      <c r="O334" t="s">
        <v>74</v>
      </c>
      <c r="P334" t="s">
        <v>74</v>
      </c>
      <c r="Q334" t="s">
        <v>74</v>
      </c>
      <c r="R334" t="s">
        <v>74</v>
      </c>
      <c r="S334" t="s">
        <v>74</v>
      </c>
      <c r="T334" t="s">
        <v>5613</v>
      </c>
      <c r="U334" t="s">
        <v>5614</v>
      </c>
      <c r="V334" t="s">
        <v>5615</v>
      </c>
      <c r="W334" t="s">
        <v>5616</v>
      </c>
      <c r="X334" t="s">
        <v>1081</v>
      </c>
      <c r="Y334" t="s">
        <v>5617</v>
      </c>
      <c r="Z334" t="s">
        <v>5618</v>
      </c>
      <c r="AA334" t="s">
        <v>5619</v>
      </c>
      <c r="AB334" t="s">
        <v>5620</v>
      </c>
      <c r="AC334" t="s">
        <v>74</v>
      </c>
      <c r="AD334" t="s">
        <v>74</v>
      </c>
      <c r="AE334" t="s">
        <v>74</v>
      </c>
      <c r="AF334" t="s">
        <v>74</v>
      </c>
      <c r="AG334">
        <v>51</v>
      </c>
      <c r="AH334">
        <v>145</v>
      </c>
      <c r="AI334">
        <v>167</v>
      </c>
      <c r="AJ334">
        <v>0</v>
      </c>
      <c r="AK334">
        <v>40</v>
      </c>
      <c r="AL334" t="s">
        <v>5621</v>
      </c>
      <c r="AM334" t="s">
        <v>1055</v>
      </c>
      <c r="AN334" t="s">
        <v>5164</v>
      </c>
      <c r="AO334" t="s">
        <v>5622</v>
      </c>
      <c r="AP334" t="s">
        <v>5623</v>
      </c>
      <c r="AQ334" t="s">
        <v>74</v>
      </c>
      <c r="AR334" t="s">
        <v>5624</v>
      </c>
      <c r="AS334" t="s">
        <v>5625</v>
      </c>
      <c r="AT334" t="s">
        <v>5578</v>
      </c>
      <c r="AU334">
        <v>2005</v>
      </c>
      <c r="AV334">
        <v>272</v>
      </c>
      <c r="AW334">
        <v>1580</v>
      </c>
      <c r="AX334" t="s">
        <v>74</v>
      </c>
      <c r="AY334" t="s">
        <v>74</v>
      </c>
      <c r="AZ334" t="s">
        <v>74</v>
      </c>
      <c r="BA334" t="s">
        <v>74</v>
      </c>
      <c r="BB334">
        <v>2535</v>
      </c>
      <c r="BC334">
        <v>2544</v>
      </c>
      <c r="BD334" t="s">
        <v>74</v>
      </c>
      <c r="BE334" t="s">
        <v>5626</v>
      </c>
      <c r="BF334" t="str">
        <f>HYPERLINK("http://dx.doi.org/10.1098/rspb.2005.3219","http://dx.doi.org/10.1098/rspb.2005.3219")</f>
        <v>http://dx.doi.org/10.1098/rspb.2005.3219</v>
      </c>
      <c r="BG334" t="s">
        <v>74</v>
      </c>
      <c r="BH334" t="s">
        <v>74</v>
      </c>
      <c r="BI334">
        <v>10</v>
      </c>
      <c r="BJ334" t="s">
        <v>5170</v>
      </c>
      <c r="BK334" t="s">
        <v>98</v>
      </c>
      <c r="BL334" t="s">
        <v>5171</v>
      </c>
      <c r="BM334" t="s">
        <v>5627</v>
      </c>
      <c r="BN334">
        <v>16271980</v>
      </c>
      <c r="BO334" t="s">
        <v>722</v>
      </c>
      <c r="BP334" t="s">
        <v>74</v>
      </c>
      <c r="BQ334" t="s">
        <v>74</v>
      </c>
      <c r="BR334" t="s">
        <v>101</v>
      </c>
      <c r="BS334" t="s">
        <v>5628</v>
      </c>
      <c r="BT334" t="str">
        <f>HYPERLINK("https%3A%2F%2Fwww.webofscience.com%2Fwos%2Fwoscc%2Ffull-record%2FWOS:000233751700013","View Full Record in Web of Science")</f>
        <v>View Full Record in Web of Science</v>
      </c>
    </row>
    <row r="335" spans="1:72" x14ac:dyDescent="0.15">
      <c r="A335" t="s">
        <v>72</v>
      </c>
      <c r="B335" t="s">
        <v>5629</v>
      </c>
      <c r="C335" t="s">
        <v>74</v>
      </c>
      <c r="D335" t="s">
        <v>74</v>
      </c>
      <c r="E335" t="s">
        <v>74</v>
      </c>
      <c r="F335" t="s">
        <v>5629</v>
      </c>
      <c r="G335" t="s">
        <v>74</v>
      </c>
      <c r="H335" t="s">
        <v>74</v>
      </c>
      <c r="I335" t="s">
        <v>5630</v>
      </c>
      <c r="J335" t="s">
        <v>5134</v>
      </c>
      <c r="K335" t="s">
        <v>74</v>
      </c>
      <c r="L335" t="s">
        <v>74</v>
      </c>
      <c r="M335" t="s">
        <v>77</v>
      </c>
      <c r="N335" t="s">
        <v>78</v>
      </c>
      <c r="O335" t="s">
        <v>74</v>
      </c>
      <c r="P335" t="s">
        <v>74</v>
      </c>
      <c r="Q335" t="s">
        <v>74</v>
      </c>
      <c r="R335" t="s">
        <v>74</v>
      </c>
      <c r="S335" t="s">
        <v>74</v>
      </c>
      <c r="T335" t="s">
        <v>74</v>
      </c>
      <c r="U335" t="s">
        <v>5631</v>
      </c>
      <c r="V335" t="s">
        <v>5632</v>
      </c>
      <c r="W335" t="s">
        <v>5633</v>
      </c>
      <c r="X335" t="s">
        <v>5634</v>
      </c>
      <c r="Y335" t="s">
        <v>5635</v>
      </c>
      <c r="Z335" t="s">
        <v>5636</v>
      </c>
      <c r="AA335" t="s">
        <v>5637</v>
      </c>
      <c r="AB335" t="s">
        <v>5638</v>
      </c>
      <c r="AC335" t="s">
        <v>74</v>
      </c>
      <c r="AD335" t="s">
        <v>74</v>
      </c>
      <c r="AE335" t="s">
        <v>74</v>
      </c>
      <c r="AF335" t="s">
        <v>74</v>
      </c>
      <c r="AG335">
        <v>28</v>
      </c>
      <c r="AH335">
        <v>28</v>
      </c>
      <c r="AI335">
        <v>31</v>
      </c>
      <c r="AJ335">
        <v>0</v>
      </c>
      <c r="AK335">
        <v>4</v>
      </c>
      <c r="AL335" t="s">
        <v>4487</v>
      </c>
      <c r="AM335" t="s">
        <v>2541</v>
      </c>
      <c r="AN335" t="s">
        <v>4488</v>
      </c>
      <c r="AO335" t="s">
        <v>5142</v>
      </c>
      <c r="AP335" t="s">
        <v>5143</v>
      </c>
      <c r="AQ335" t="s">
        <v>74</v>
      </c>
      <c r="AR335" t="s">
        <v>5144</v>
      </c>
      <c r="AS335" t="s">
        <v>5145</v>
      </c>
      <c r="AT335" t="s">
        <v>5639</v>
      </c>
      <c r="AU335">
        <v>2005</v>
      </c>
      <c r="AV335">
        <v>32</v>
      </c>
      <c r="AW335">
        <v>23</v>
      </c>
      <c r="AX335" t="s">
        <v>74</v>
      </c>
      <c r="AY335" t="s">
        <v>74</v>
      </c>
      <c r="AZ335" t="s">
        <v>74</v>
      </c>
      <c r="BA335" t="s">
        <v>74</v>
      </c>
      <c r="BB335" t="s">
        <v>74</v>
      </c>
      <c r="BC335" t="s">
        <v>74</v>
      </c>
      <c r="BD335" t="s">
        <v>5640</v>
      </c>
      <c r="BE335" t="s">
        <v>5641</v>
      </c>
      <c r="BF335" t="str">
        <f>HYPERLINK("http://dx.doi.org/10.1029/2005GL023804","http://dx.doi.org/10.1029/2005GL023804")</f>
        <v>http://dx.doi.org/10.1029/2005GL023804</v>
      </c>
      <c r="BG335" t="s">
        <v>74</v>
      </c>
      <c r="BH335" t="s">
        <v>74</v>
      </c>
      <c r="BI335">
        <v>4</v>
      </c>
      <c r="BJ335" t="s">
        <v>1129</v>
      </c>
      <c r="BK335" t="s">
        <v>98</v>
      </c>
      <c r="BL335" t="s">
        <v>1130</v>
      </c>
      <c r="BM335" t="s">
        <v>5642</v>
      </c>
      <c r="BN335" t="s">
        <v>74</v>
      </c>
      <c r="BO335" t="s">
        <v>74</v>
      </c>
      <c r="BP335" t="s">
        <v>74</v>
      </c>
      <c r="BQ335" t="s">
        <v>74</v>
      </c>
      <c r="BR335" t="s">
        <v>101</v>
      </c>
      <c r="BS335" t="s">
        <v>5643</v>
      </c>
      <c r="BT335" t="str">
        <f>HYPERLINK("https%3A%2F%2Fwww.webofscience.com%2Fwos%2Fwoscc%2Ffull-record%2FWOS:000234246600003","View Full Record in Web of Science")</f>
        <v>View Full Record in Web of Science</v>
      </c>
    </row>
    <row r="336" spans="1:72" x14ac:dyDescent="0.15">
      <c r="A336" t="s">
        <v>72</v>
      </c>
      <c r="B336" t="s">
        <v>5644</v>
      </c>
      <c r="C336" t="s">
        <v>74</v>
      </c>
      <c r="D336" t="s">
        <v>74</v>
      </c>
      <c r="E336" t="s">
        <v>74</v>
      </c>
      <c r="F336" t="s">
        <v>5644</v>
      </c>
      <c r="G336" t="s">
        <v>74</v>
      </c>
      <c r="H336" t="s">
        <v>74</v>
      </c>
      <c r="I336" t="s">
        <v>5645</v>
      </c>
      <c r="J336" t="s">
        <v>5646</v>
      </c>
      <c r="K336" t="s">
        <v>74</v>
      </c>
      <c r="L336" t="s">
        <v>74</v>
      </c>
      <c r="M336" t="s">
        <v>77</v>
      </c>
      <c r="N336" t="s">
        <v>78</v>
      </c>
      <c r="O336" t="s">
        <v>74</v>
      </c>
      <c r="P336" t="s">
        <v>74</v>
      </c>
      <c r="Q336" t="s">
        <v>74</v>
      </c>
      <c r="R336" t="s">
        <v>74</v>
      </c>
      <c r="S336" t="s">
        <v>74</v>
      </c>
      <c r="T336" t="s">
        <v>5647</v>
      </c>
      <c r="U336" t="s">
        <v>5648</v>
      </c>
      <c r="V336" t="s">
        <v>5649</v>
      </c>
      <c r="W336" t="s">
        <v>5650</v>
      </c>
      <c r="X336" t="s">
        <v>5651</v>
      </c>
      <c r="Y336" t="s">
        <v>5652</v>
      </c>
      <c r="Z336" t="s">
        <v>5653</v>
      </c>
      <c r="AA336" t="s">
        <v>74</v>
      </c>
      <c r="AB336" t="s">
        <v>74</v>
      </c>
      <c r="AC336" t="s">
        <v>74</v>
      </c>
      <c r="AD336" t="s">
        <v>74</v>
      </c>
      <c r="AE336" t="s">
        <v>74</v>
      </c>
      <c r="AF336" t="s">
        <v>74</v>
      </c>
      <c r="AG336">
        <v>63</v>
      </c>
      <c r="AH336">
        <v>10</v>
      </c>
      <c r="AI336">
        <v>12</v>
      </c>
      <c r="AJ336">
        <v>0</v>
      </c>
      <c r="AK336">
        <v>15</v>
      </c>
      <c r="AL336" t="s">
        <v>3283</v>
      </c>
      <c r="AM336" t="s">
        <v>1148</v>
      </c>
      <c r="AN336" t="s">
        <v>3284</v>
      </c>
      <c r="AO336" t="s">
        <v>5654</v>
      </c>
      <c r="AP336" t="s">
        <v>5655</v>
      </c>
      <c r="AQ336" t="s">
        <v>74</v>
      </c>
      <c r="AR336" t="s">
        <v>5646</v>
      </c>
      <c r="AS336" t="s">
        <v>5656</v>
      </c>
      <c r="AT336" t="s">
        <v>5657</v>
      </c>
      <c r="AU336">
        <v>2005</v>
      </c>
      <c r="AV336">
        <v>362</v>
      </c>
      <c r="AW336" t="s">
        <v>74</v>
      </c>
      <c r="AX336" t="s">
        <v>74</v>
      </c>
      <c r="AY336" t="s">
        <v>74</v>
      </c>
      <c r="AZ336" t="s">
        <v>74</v>
      </c>
      <c r="BA336" t="s">
        <v>74</v>
      </c>
      <c r="BB336">
        <v>98</v>
      </c>
      <c r="BC336">
        <v>108</v>
      </c>
      <c r="BD336" t="s">
        <v>74</v>
      </c>
      <c r="BE336" t="s">
        <v>5658</v>
      </c>
      <c r="BF336" t="str">
        <f>HYPERLINK("http://dx.doi.org/10.1016/j.gene.2005.06.035","http://dx.doi.org/10.1016/j.gene.2005.06.035")</f>
        <v>http://dx.doi.org/10.1016/j.gene.2005.06.035</v>
      </c>
      <c r="BG336" t="s">
        <v>74</v>
      </c>
      <c r="BH336" t="s">
        <v>74</v>
      </c>
      <c r="BI336">
        <v>11</v>
      </c>
      <c r="BJ336" t="s">
        <v>5659</v>
      </c>
      <c r="BK336" t="s">
        <v>98</v>
      </c>
      <c r="BL336" t="s">
        <v>5659</v>
      </c>
      <c r="BM336" t="s">
        <v>5660</v>
      </c>
      <c r="BN336">
        <v>16188403</v>
      </c>
      <c r="BO336" t="s">
        <v>74</v>
      </c>
      <c r="BP336" t="s">
        <v>74</v>
      </c>
      <c r="BQ336" t="s">
        <v>74</v>
      </c>
      <c r="BR336" t="s">
        <v>101</v>
      </c>
      <c r="BS336" t="s">
        <v>5661</v>
      </c>
      <c r="BT336" t="str">
        <f>HYPERLINK("https%3A%2F%2Fwww.webofscience.com%2Fwos%2Fwoscc%2Ffull-record%2FWOS:000233699000011","View Full Record in Web of Science")</f>
        <v>View Full Record in Web of Science</v>
      </c>
    </row>
    <row r="337" spans="1:72" x14ac:dyDescent="0.15">
      <c r="A337" t="s">
        <v>72</v>
      </c>
      <c r="B337" t="s">
        <v>5662</v>
      </c>
      <c r="C337" t="s">
        <v>74</v>
      </c>
      <c r="D337" t="s">
        <v>74</v>
      </c>
      <c r="E337" t="s">
        <v>74</v>
      </c>
      <c r="F337" t="s">
        <v>5662</v>
      </c>
      <c r="G337" t="s">
        <v>74</v>
      </c>
      <c r="H337" t="s">
        <v>74</v>
      </c>
      <c r="I337" t="s">
        <v>5663</v>
      </c>
      <c r="J337" t="s">
        <v>5664</v>
      </c>
      <c r="K337" t="s">
        <v>74</v>
      </c>
      <c r="L337" t="s">
        <v>74</v>
      </c>
      <c r="M337" t="s">
        <v>77</v>
      </c>
      <c r="N337" t="s">
        <v>78</v>
      </c>
      <c r="O337" t="s">
        <v>74</v>
      </c>
      <c r="P337" t="s">
        <v>74</v>
      </c>
      <c r="Q337" t="s">
        <v>74</v>
      </c>
      <c r="R337" t="s">
        <v>74</v>
      </c>
      <c r="S337" t="s">
        <v>74</v>
      </c>
      <c r="T337" t="s">
        <v>74</v>
      </c>
      <c r="U337" t="s">
        <v>5665</v>
      </c>
      <c r="V337" t="s">
        <v>5666</v>
      </c>
      <c r="W337" t="s">
        <v>74</v>
      </c>
      <c r="X337" t="s">
        <v>74</v>
      </c>
      <c r="Y337" t="s">
        <v>5667</v>
      </c>
      <c r="Z337" t="s">
        <v>5668</v>
      </c>
      <c r="AA337" t="s">
        <v>74</v>
      </c>
      <c r="AB337" t="s">
        <v>74</v>
      </c>
      <c r="AC337" t="s">
        <v>74</v>
      </c>
      <c r="AD337" t="s">
        <v>74</v>
      </c>
      <c r="AE337" t="s">
        <v>74</v>
      </c>
      <c r="AF337" t="s">
        <v>74</v>
      </c>
      <c r="AG337">
        <v>24</v>
      </c>
      <c r="AH337">
        <v>4</v>
      </c>
      <c r="AI337">
        <v>5</v>
      </c>
      <c r="AJ337">
        <v>0</v>
      </c>
      <c r="AK337">
        <v>4</v>
      </c>
      <c r="AL337" t="s">
        <v>2025</v>
      </c>
      <c r="AM337" t="s">
        <v>2026</v>
      </c>
      <c r="AN337" t="s">
        <v>2027</v>
      </c>
      <c r="AO337" t="s">
        <v>5669</v>
      </c>
      <c r="AP337" t="s">
        <v>5670</v>
      </c>
      <c r="AQ337" t="s">
        <v>74</v>
      </c>
      <c r="AR337" t="s">
        <v>5671</v>
      </c>
      <c r="AS337" t="s">
        <v>5672</v>
      </c>
      <c r="AT337" t="s">
        <v>5657</v>
      </c>
      <c r="AU337">
        <v>2005</v>
      </c>
      <c r="AV337">
        <v>183</v>
      </c>
      <c r="AW337" t="s">
        <v>5673</v>
      </c>
      <c r="AX337" t="s">
        <v>74</v>
      </c>
      <c r="AY337" t="s">
        <v>74</v>
      </c>
      <c r="AZ337" t="s">
        <v>74</v>
      </c>
      <c r="BA337" t="s">
        <v>74</v>
      </c>
      <c r="BB337">
        <v>638</v>
      </c>
      <c r="BC337">
        <v>641</v>
      </c>
      <c r="BD337" t="s">
        <v>74</v>
      </c>
      <c r="BE337" t="s">
        <v>5674</v>
      </c>
      <c r="BF337" t="str">
        <f>HYPERLINK("http://dx.doi.org/10.5694/j.1326-5377.2005.tb00064.x","http://dx.doi.org/10.5694/j.1326-5377.2005.tb00064.x")</f>
        <v>http://dx.doi.org/10.5694/j.1326-5377.2005.tb00064.x</v>
      </c>
      <c r="BG337" t="s">
        <v>74</v>
      </c>
      <c r="BH337" t="s">
        <v>74</v>
      </c>
      <c r="BI337">
        <v>4</v>
      </c>
      <c r="BJ337" t="s">
        <v>5675</v>
      </c>
      <c r="BK337" t="s">
        <v>98</v>
      </c>
      <c r="BL337" t="s">
        <v>5676</v>
      </c>
      <c r="BM337" t="s">
        <v>5677</v>
      </c>
      <c r="BN337">
        <v>16336159</v>
      </c>
      <c r="BO337" t="s">
        <v>74</v>
      </c>
      <c r="BP337" t="s">
        <v>74</v>
      </c>
      <c r="BQ337" t="s">
        <v>74</v>
      </c>
      <c r="BR337" t="s">
        <v>101</v>
      </c>
      <c r="BS337" t="s">
        <v>5678</v>
      </c>
      <c r="BT337" t="str">
        <f>HYPERLINK("https%3A%2F%2Fwww.webofscience.com%2Fwos%2Fwoscc%2Ffull-record%2FWOS:000234398200033","View Full Record in Web of Science")</f>
        <v>View Full Record in Web of Science</v>
      </c>
    </row>
    <row r="338" spans="1:72" x14ac:dyDescent="0.15">
      <c r="A338" t="s">
        <v>72</v>
      </c>
      <c r="B338" t="s">
        <v>5679</v>
      </c>
      <c r="C338" t="s">
        <v>74</v>
      </c>
      <c r="D338" t="s">
        <v>74</v>
      </c>
      <c r="E338" t="s">
        <v>74</v>
      </c>
      <c r="F338" t="s">
        <v>5679</v>
      </c>
      <c r="G338" t="s">
        <v>74</v>
      </c>
      <c r="H338" t="s">
        <v>74</v>
      </c>
      <c r="I338" t="s">
        <v>5680</v>
      </c>
      <c r="J338" t="s">
        <v>5134</v>
      </c>
      <c r="K338" t="s">
        <v>74</v>
      </c>
      <c r="L338" t="s">
        <v>74</v>
      </c>
      <c r="M338" t="s">
        <v>77</v>
      </c>
      <c r="N338" t="s">
        <v>78</v>
      </c>
      <c r="O338" t="s">
        <v>74</v>
      </c>
      <c r="P338" t="s">
        <v>74</v>
      </c>
      <c r="Q338" t="s">
        <v>74</v>
      </c>
      <c r="R338" t="s">
        <v>74</v>
      </c>
      <c r="S338" t="s">
        <v>74</v>
      </c>
      <c r="T338" t="s">
        <v>74</v>
      </c>
      <c r="U338" t="s">
        <v>5681</v>
      </c>
      <c r="V338" t="s">
        <v>5682</v>
      </c>
      <c r="W338" t="s">
        <v>5683</v>
      </c>
      <c r="X338" t="s">
        <v>5684</v>
      </c>
      <c r="Y338" t="s">
        <v>5685</v>
      </c>
      <c r="Z338" t="s">
        <v>5686</v>
      </c>
      <c r="AA338" t="s">
        <v>5687</v>
      </c>
      <c r="AB338" t="s">
        <v>5688</v>
      </c>
      <c r="AC338" t="s">
        <v>74</v>
      </c>
      <c r="AD338" t="s">
        <v>74</v>
      </c>
      <c r="AE338" t="s">
        <v>74</v>
      </c>
      <c r="AF338" t="s">
        <v>74</v>
      </c>
      <c r="AG338">
        <v>21</v>
      </c>
      <c r="AH338">
        <v>6</v>
      </c>
      <c r="AI338">
        <v>8</v>
      </c>
      <c r="AJ338">
        <v>0</v>
      </c>
      <c r="AK338">
        <v>14</v>
      </c>
      <c r="AL338" t="s">
        <v>4487</v>
      </c>
      <c r="AM338" t="s">
        <v>2541</v>
      </c>
      <c r="AN338" t="s">
        <v>4488</v>
      </c>
      <c r="AO338" t="s">
        <v>5142</v>
      </c>
      <c r="AP338" t="s">
        <v>5143</v>
      </c>
      <c r="AQ338" t="s">
        <v>74</v>
      </c>
      <c r="AR338" t="s">
        <v>5144</v>
      </c>
      <c r="AS338" t="s">
        <v>5145</v>
      </c>
      <c r="AT338" t="s">
        <v>5689</v>
      </c>
      <c r="AU338">
        <v>2005</v>
      </c>
      <c r="AV338">
        <v>32</v>
      </c>
      <c r="AW338">
        <v>23</v>
      </c>
      <c r="AX338" t="s">
        <v>74</v>
      </c>
      <c r="AY338" t="s">
        <v>74</v>
      </c>
      <c r="AZ338" t="s">
        <v>74</v>
      </c>
      <c r="BA338" t="s">
        <v>74</v>
      </c>
      <c r="BB338" t="s">
        <v>74</v>
      </c>
      <c r="BC338" t="s">
        <v>74</v>
      </c>
      <c r="BD338" t="s">
        <v>5690</v>
      </c>
      <c r="BE338" t="s">
        <v>5691</v>
      </c>
      <c r="BF338" t="str">
        <f>HYPERLINK("http://dx.doi.org/10.1029/2005GL024289","http://dx.doi.org/10.1029/2005GL024289")</f>
        <v>http://dx.doi.org/10.1029/2005GL024289</v>
      </c>
      <c r="BG338" t="s">
        <v>74</v>
      </c>
      <c r="BH338" t="s">
        <v>74</v>
      </c>
      <c r="BI338">
        <v>4</v>
      </c>
      <c r="BJ338" t="s">
        <v>1129</v>
      </c>
      <c r="BK338" t="s">
        <v>98</v>
      </c>
      <c r="BL338" t="s">
        <v>1130</v>
      </c>
      <c r="BM338" t="s">
        <v>5692</v>
      </c>
      <c r="BN338" t="s">
        <v>74</v>
      </c>
      <c r="BO338" t="s">
        <v>5268</v>
      </c>
      <c r="BP338" t="s">
        <v>74</v>
      </c>
      <c r="BQ338" t="s">
        <v>74</v>
      </c>
      <c r="BR338" t="s">
        <v>101</v>
      </c>
      <c r="BS338" t="s">
        <v>5693</v>
      </c>
      <c r="BT338" t="str">
        <f>HYPERLINK("https%3A%2F%2Fwww.webofscience.com%2Fwos%2Fwoscc%2Ffull-record%2FWOS:000233936000004","View Full Record in Web of Science")</f>
        <v>View Full Record in Web of Science</v>
      </c>
    </row>
    <row r="339" spans="1:72" x14ac:dyDescent="0.15">
      <c r="A339" t="s">
        <v>72</v>
      </c>
      <c r="B339" t="s">
        <v>5694</v>
      </c>
      <c r="C339" t="s">
        <v>74</v>
      </c>
      <c r="D339" t="s">
        <v>74</v>
      </c>
      <c r="E339" t="s">
        <v>74</v>
      </c>
      <c r="F339" t="s">
        <v>5694</v>
      </c>
      <c r="G339" t="s">
        <v>74</v>
      </c>
      <c r="H339" t="s">
        <v>74</v>
      </c>
      <c r="I339" t="s">
        <v>5695</v>
      </c>
      <c r="J339" t="s">
        <v>5134</v>
      </c>
      <c r="K339" t="s">
        <v>74</v>
      </c>
      <c r="L339" t="s">
        <v>74</v>
      </c>
      <c r="M339" t="s">
        <v>77</v>
      </c>
      <c r="N339" t="s">
        <v>78</v>
      </c>
      <c r="O339" t="s">
        <v>74</v>
      </c>
      <c r="P339" t="s">
        <v>74</v>
      </c>
      <c r="Q339" t="s">
        <v>74</v>
      </c>
      <c r="R339" t="s">
        <v>74</v>
      </c>
      <c r="S339" t="s">
        <v>74</v>
      </c>
      <c r="T339" t="s">
        <v>74</v>
      </c>
      <c r="U339" t="s">
        <v>5696</v>
      </c>
      <c r="V339" t="s">
        <v>5697</v>
      </c>
      <c r="W339" t="s">
        <v>5698</v>
      </c>
      <c r="X339" t="s">
        <v>5699</v>
      </c>
      <c r="Y339" t="s">
        <v>5407</v>
      </c>
      <c r="Z339" t="s">
        <v>5700</v>
      </c>
      <c r="AA339" t="s">
        <v>5701</v>
      </c>
      <c r="AB339" t="s">
        <v>5702</v>
      </c>
      <c r="AC339" t="s">
        <v>74</v>
      </c>
      <c r="AD339" t="s">
        <v>74</v>
      </c>
      <c r="AE339" t="s">
        <v>74</v>
      </c>
      <c r="AF339" t="s">
        <v>74</v>
      </c>
      <c r="AG339">
        <v>12</v>
      </c>
      <c r="AH339">
        <v>15</v>
      </c>
      <c r="AI339">
        <v>16</v>
      </c>
      <c r="AJ339">
        <v>0</v>
      </c>
      <c r="AK339">
        <v>4</v>
      </c>
      <c r="AL339" t="s">
        <v>4487</v>
      </c>
      <c r="AM339" t="s">
        <v>2541</v>
      </c>
      <c r="AN339" t="s">
        <v>4488</v>
      </c>
      <c r="AO339" t="s">
        <v>5142</v>
      </c>
      <c r="AP339" t="s">
        <v>5143</v>
      </c>
      <c r="AQ339" t="s">
        <v>74</v>
      </c>
      <c r="AR339" t="s">
        <v>5144</v>
      </c>
      <c r="AS339" t="s">
        <v>5145</v>
      </c>
      <c r="AT339" t="s">
        <v>5689</v>
      </c>
      <c r="AU339">
        <v>2005</v>
      </c>
      <c r="AV339">
        <v>32</v>
      </c>
      <c r="AW339">
        <v>23</v>
      </c>
      <c r="AX339" t="s">
        <v>74</v>
      </c>
      <c r="AY339" t="s">
        <v>74</v>
      </c>
      <c r="AZ339" t="s">
        <v>74</v>
      </c>
      <c r="BA339" t="s">
        <v>74</v>
      </c>
      <c r="BB339" t="s">
        <v>74</v>
      </c>
      <c r="BC339" t="s">
        <v>74</v>
      </c>
      <c r="BD339" t="s">
        <v>5703</v>
      </c>
      <c r="BE339" t="s">
        <v>5704</v>
      </c>
      <c r="BF339" t="str">
        <f>HYPERLINK("http://dx.doi.org/10.1029/2005GL024075","http://dx.doi.org/10.1029/2005GL024075")</f>
        <v>http://dx.doi.org/10.1029/2005GL024075</v>
      </c>
      <c r="BG339" t="s">
        <v>74</v>
      </c>
      <c r="BH339" t="s">
        <v>74</v>
      </c>
      <c r="BI339">
        <v>5</v>
      </c>
      <c r="BJ339" t="s">
        <v>1129</v>
      </c>
      <c r="BK339" t="s">
        <v>98</v>
      </c>
      <c r="BL339" t="s">
        <v>1130</v>
      </c>
      <c r="BM339" t="s">
        <v>5692</v>
      </c>
      <c r="BN339" t="s">
        <v>74</v>
      </c>
      <c r="BO339" t="s">
        <v>2248</v>
      </c>
      <c r="BP339" t="s">
        <v>74</v>
      </c>
      <c r="BQ339" t="s">
        <v>74</v>
      </c>
      <c r="BR339" t="s">
        <v>101</v>
      </c>
      <c r="BS339" t="s">
        <v>5705</v>
      </c>
      <c r="BT339" t="str">
        <f>HYPERLINK("https%3A%2F%2Fwww.webofscience.com%2Fwos%2Fwoscc%2Ffull-record%2FWOS:000233936000002","View Full Record in Web of Science")</f>
        <v>View Full Record in Web of Science</v>
      </c>
    </row>
    <row r="340" spans="1:72" x14ac:dyDescent="0.15">
      <c r="A340" t="s">
        <v>72</v>
      </c>
      <c r="B340" t="s">
        <v>5706</v>
      </c>
      <c r="C340" t="s">
        <v>74</v>
      </c>
      <c r="D340" t="s">
        <v>74</v>
      </c>
      <c r="E340" t="s">
        <v>74</v>
      </c>
      <c r="F340" t="s">
        <v>5706</v>
      </c>
      <c r="G340" t="s">
        <v>74</v>
      </c>
      <c r="H340" t="s">
        <v>74</v>
      </c>
      <c r="I340" t="s">
        <v>5707</v>
      </c>
      <c r="J340" t="s">
        <v>5134</v>
      </c>
      <c r="K340" t="s">
        <v>74</v>
      </c>
      <c r="L340" t="s">
        <v>74</v>
      </c>
      <c r="M340" t="s">
        <v>77</v>
      </c>
      <c r="N340" t="s">
        <v>78</v>
      </c>
      <c r="O340" t="s">
        <v>74</v>
      </c>
      <c r="P340" t="s">
        <v>74</v>
      </c>
      <c r="Q340" t="s">
        <v>74</v>
      </c>
      <c r="R340" t="s">
        <v>74</v>
      </c>
      <c r="S340" t="s">
        <v>74</v>
      </c>
      <c r="T340" t="s">
        <v>74</v>
      </c>
      <c r="U340" t="s">
        <v>5708</v>
      </c>
      <c r="V340" t="s">
        <v>5709</v>
      </c>
      <c r="W340" t="s">
        <v>5710</v>
      </c>
      <c r="X340" t="s">
        <v>5711</v>
      </c>
      <c r="Y340" t="s">
        <v>5712</v>
      </c>
      <c r="Z340" t="s">
        <v>5713</v>
      </c>
      <c r="AA340" t="s">
        <v>5714</v>
      </c>
      <c r="AB340" t="s">
        <v>5715</v>
      </c>
      <c r="AC340" t="s">
        <v>74</v>
      </c>
      <c r="AD340" t="s">
        <v>74</v>
      </c>
      <c r="AE340" t="s">
        <v>74</v>
      </c>
      <c r="AF340" t="s">
        <v>74</v>
      </c>
      <c r="AG340">
        <v>17</v>
      </c>
      <c r="AH340">
        <v>88</v>
      </c>
      <c r="AI340">
        <v>95</v>
      </c>
      <c r="AJ340">
        <v>2</v>
      </c>
      <c r="AK340">
        <v>15</v>
      </c>
      <c r="AL340" t="s">
        <v>4487</v>
      </c>
      <c r="AM340" t="s">
        <v>2541</v>
      </c>
      <c r="AN340" t="s">
        <v>4488</v>
      </c>
      <c r="AO340" t="s">
        <v>5142</v>
      </c>
      <c r="AP340" t="s">
        <v>5143</v>
      </c>
      <c r="AQ340" t="s">
        <v>74</v>
      </c>
      <c r="AR340" t="s">
        <v>5144</v>
      </c>
      <c r="AS340" t="s">
        <v>5145</v>
      </c>
      <c r="AT340" t="s">
        <v>5716</v>
      </c>
      <c r="AU340">
        <v>2005</v>
      </c>
      <c r="AV340">
        <v>32</v>
      </c>
      <c r="AW340">
        <v>23</v>
      </c>
      <c r="AX340" t="s">
        <v>74</v>
      </c>
      <c r="AY340" t="s">
        <v>74</v>
      </c>
      <c r="AZ340" t="s">
        <v>74</v>
      </c>
      <c r="BA340" t="s">
        <v>74</v>
      </c>
      <c r="BB340" t="s">
        <v>74</v>
      </c>
      <c r="BC340" t="s">
        <v>74</v>
      </c>
      <c r="BD340" t="s">
        <v>5717</v>
      </c>
      <c r="BE340" t="s">
        <v>5718</v>
      </c>
      <c r="BF340" t="str">
        <f>HYPERLINK("http://dx.doi.org/10.1029/2005GL024246","http://dx.doi.org/10.1029/2005GL024246")</f>
        <v>http://dx.doi.org/10.1029/2005GL024246</v>
      </c>
      <c r="BG340" t="s">
        <v>74</v>
      </c>
      <c r="BH340" t="s">
        <v>74</v>
      </c>
      <c r="BI340">
        <v>4</v>
      </c>
      <c r="BJ340" t="s">
        <v>1129</v>
      </c>
      <c r="BK340" t="s">
        <v>98</v>
      </c>
      <c r="BL340" t="s">
        <v>1130</v>
      </c>
      <c r="BM340" t="s">
        <v>5719</v>
      </c>
      <c r="BN340" t="s">
        <v>74</v>
      </c>
      <c r="BO340" t="s">
        <v>1900</v>
      </c>
      <c r="BP340" t="s">
        <v>74</v>
      </c>
      <c r="BQ340" t="s">
        <v>74</v>
      </c>
      <c r="BR340" t="s">
        <v>101</v>
      </c>
      <c r="BS340" t="s">
        <v>5720</v>
      </c>
      <c r="BT340" t="str">
        <f>HYPERLINK("https%3A%2F%2Fwww.webofscience.com%2Fwos%2Fwoscc%2Ffull-record%2FWOS:000233935800005","View Full Record in Web of Science")</f>
        <v>View Full Record in Web of Science</v>
      </c>
    </row>
    <row r="341" spans="1:72" x14ac:dyDescent="0.15">
      <c r="A341" t="s">
        <v>72</v>
      </c>
      <c r="B341" t="s">
        <v>5721</v>
      </c>
      <c r="C341" t="s">
        <v>74</v>
      </c>
      <c r="D341" t="s">
        <v>74</v>
      </c>
      <c r="E341" t="s">
        <v>74</v>
      </c>
      <c r="F341" t="s">
        <v>5721</v>
      </c>
      <c r="G341" t="s">
        <v>74</v>
      </c>
      <c r="H341" t="s">
        <v>74</v>
      </c>
      <c r="I341" t="s">
        <v>5722</v>
      </c>
      <c r="J341" t="s">
        <v>5723</v>
      </c>
      <c r="K341" t="s">
        <v>74</v>
      </c>
      <c r="L341" t="s">
        <v>74</v>
      </c>
      <c r="M341" t="s">
        <v>77</v>
      </c>
      <c r="N341" t="s">
        <v>78</v>
      </c>
      <c r="O341" t="s">
        <v>74</v>
      </c>
      <c r="P341" t="s">
        <v>74</v>
      </c>
      <c r="Q341" t="s">
        <v>74</v>
      </c>
      <c r="R341" t="s">
        <v>74</v>
      </c>
      <c r="S341" t="s">
        <v>74</v>
      </c>
      <c r="T341" t="s">
        <v>5724</v>
      </c>
      <c r="U341" t="s">
        <v>5725</v>
      </c>
      <c r="V341" t="s">
        <v>5726</v>
      </c>
      <c r="W341" t="s">
        <v>5727</v>
      </c>
      <c r="X341" t="s">
        <v>5728</v>
      </c>
      <c r="Y341" t="s">
        <v>5729</v>
      </c>
      <c r="Z341" t="s">
        <v>5730</v>
      </c>
      <c r="AA341" t="s">
        <v>3281</v>
      </c>
      <c r="AB341" t="s">
        <v>3282</v>
      </c>
      <c r="AC341" t="s">
        <v>74</v>
      </c>
      <c r="AD341" t="s">
        <v>74</v>
      </c>
      <c r="AE341" t="s">
        <v>74</v>
      </c>
      <c r="AF341" t="s">
        <v>74</v>
      </c>
      <c r="AG341">
        <v>40</v>
      </c>
      <c r="AH341">
        <v>72</v>
      </c>
      <c r="AI341">
        <v>76</v>
      </c>
      <c r="AJ341">
        <v>0</v>
      </c>
      <c r="AK341">
        <v>41</v>
      </c>
      <c r="AL341" t="s">
        <v>3283</v>
      </c>
      <c r="AM341" t="s">
        <v>1148</v>
      </c>
      <c r="AN341" t="s">
        <v>3284</v>
      </c>
      <c r="AO341" t="s">
        <v>5731</v>
      </c>
      <c r="AP341" t="s">
        <v>5732</v>
      </c>
      <c r="AQ341" t="s">
        <v>74</v>
      </c>
      <c r="AR341" t="s">
        <v>5733</v>
      </c>
      <c r="AS341" t="s">
        <v>5734</v>
      </c>
      <c r="AT341" t="s">
        <v>5716</v>
      </c>
      <c r="AU341">
        <v>2005</v>
      </c>
      <c r="AV341">
        <v>1097</v>
      </c>
      <c r="AW341" t="s">
        <v>485</v>
      </c>
      <c r="AX341" t="s">
        <v>74</v>
      </c>
      <c r="AY341" t="s">
        <v>74</v>
      </c>
      <c r="AZ341" t="s">
        <v>74</v>
      </c>
      <c r="BA341" t="s">
        <v>74</v>
      </c>
      <c r="BB341">
        <v>1</v>
      </c>
      <c r="BC341">
        <v>8</v>
      </c>
      <c r="BD341" t="s">
        <v>74</v>
      </c>
      <c r="BE341" t="s">
        <v>5735</v>
      </c>
      <c r="BF341" t="str">
        <f>HYPERLINK("http://dx.doi.org/10.1016/j.chroma.2005.08.012","http://dx.doi.org/10.1016/j.chroma.2005.08.012")</f>
        <v>http://dx.doi.org/10.1016/j.chroma.2005.08.012</v>
      </c>
      <c r="BG341" t="s">
        <v>74</v>
      </c>
      <c r="BH341" t="s">
        <v>74</v>
      </c>
      <c r="BI341">
        <v>8</v>
      </c>
      <c r="BJ341" t="s">
        <v>5736</v>
      </c>
      <c r="BK341" t="s">
        <v>98</v>
      </c>
      <c r="BL341" t="s">
        <v>5737</v>
      </c>
      <c r="BM341" t="s">
        <v>5738</v>
      </c>
      <c r="BN341">
        <v>16298179</v>
      </c>
      <c r="BO341" t="s">
        <v>74</v>
      </c>
      <c r="BP341" t="s">
        <v>74</v>
      </c>
      <c r="BQ341" t="s">
        <v>74</v>
      </c>
      <c r="BR341" t="s">
        <v>101</v>
      </c>
      <c r="BS341" t="s">
        <v>5739</v>
      </c>
      <c r="BT341" t="str">
        <f>HYPERLINK("https%3A%2F%2Fwww.webofscience.com%2Fwos%2Fwoscc%2Ffull-record%2FWOS:000233672400001","View Full Record in Web of Science")</f>
        <v>View Full Record in Web of Science</v>
      </c>
    </row>
    <row r="342" spans="1:72" x14ac:dyDescent="0.15">
      <c r="A342" t="s">
        <v>72</v>
      </c>
      <c r="B342" t="s">
        <v>5740</v>
      </c>
      <c r="C342" t="s">
        <v>74</v>
      </c>
      <c r="D342" t="s">
        <v>74</v>
      </c>
      <c r="E342" t="s">
        <v>74</v>
      </c>
      <c r="F342" t="s">
        <v>5740</v>
      </c>
      <c r="G342" t="s">
        <v>74</v>
      </c>
      <c r="H342" t="s">
        <v>74</v>
      </c>
      <c r="I342" t="s">
        <v>5741</v>
      </c>
      <c r="J342" t="s">
        <v>5441</v>
      </c>
      <c r="K342" t="s">
        <v>74</v>
      </c>
      <c r="L342" t="s">
        <v>74</v>
      </c>
      <c r="M342" t="s">
        <v>77</v>
      </c>
      <c r="N342" t="s">
        <v>78</v>
      </c>
      <c r="O342" t="s">
        <v>74</v>
      </c>
      <c r="P342" t="s">
        <v>74</v>
      </c>
      <c r="Q342" t="s">
        <v>74</v>
      </c>
      <c r="R342" t="s">
        <v>74</v>
      </c>
      <c r="S342" t="s">
        <v>74</v>
      </c>
      <c r="T342" t="s">
        <v>74</v>
      </c>
      <c r="U342" t="s">
        <v>5742</v>
      </c>
      <c r="V342" t="s">
        <v>5743</v>
      </c>
      <c r="W342" t="s">
        <v>5744</v>
      </c>
      <c r="X342" t="s">
        <v>5745</v>
      </c>
      <c r="Y342" t="s">
        <v>5746</v>
      </c>
      <c r="Z342" t="s">
        <v>5747</v>
      </c>
      <c r="AA342" t="s">
        <v>5748</v>
      </c>
      <c r="AB342" t="s">
        <v>5749</v>
      </c>
      <c r="AC342" t="s">
        <v>74</v>
      </c>
      <c r="AD342" t="s">
        <v>74</v>
      </c>
      <c r="AE342" t="s">
        <v>74</v>
      </c>
      <c r="AF342" t="s">
        <v>74</v>
      </c>
      <c r="AG342">
        <v>81</v>
      </c>
      <c r="AH342">
        <v>34</v>
      </c>
      <c r="AI342">
        <v>36</v>
      </c>
      <c r="AJ342">
        <v>0</v>
      </c>
      <c r="AK342">
        <v>6</v>
      </c>
      <c r="AL342" t="s">
        <v>4487</v>
      </c>
      <c r="AM342" t="s">
        <v>2541</v>
      </c>
      <c r="AN342" t="s">
        <v>4488</v>
      </c>
      <c r="AO342" t="s">
        <v>5447</v>
      </c>
      <c r="AP342" t="s">
        <v>5448</v>
      </c>
      <c r="AQ342" t="s">
        <v>74</v>
      </c>
      <c r="AR342" t="s">
        <v>5441</v>
      </c>
      <c r="AS342" t="s">
        <v>5449</v>
      </c>
      <c r="AT342" t="s">
        <v>5716</v>
      </c>
      <c r="AU342">
        <v>2005</v>
      </c>
      <c r="AV342">
        <v>20</v>
      </c>
      <c r="AW342">
        <v>4</v>
      </c>
      <c r="AX342" t="s">
        <v>74</v>
      </c>
      <c r="AY342" t="s">
        <v>74</v>
      </c>
      <c r="AZ342" t="s">
        <v>74</v>
      </c>
      <c r="BA342" t="s">
        <v>74</v>
      </c>
      <c r="BB342" t="s">
        <v>74</v>
      </c>
      <c r="BC342" t="s">
        <v>74</v>
      </c>
      <c r="BD342" t="s">
        <v>5750</v>
      </c>
      <c r="BE342" t="s">
        <v>5751</v>
      </c>
      <c r="BF342" t="str">
        <f>HYPERLINK("http://dx.doi.org/10.1029/2004PA001088","http://dx.doi.org/10.1029/2004PA001088")</f>
        <v>http://dx.doi.org/10.1029/2004PA001088</v>
      </c>
      <c r="BG342" t="s">
        <v>74</v>
      </c>
      <c r="BH342" t="s">
        <v>74</v>
      </c>
      <c r="BI342">
        <v>12</v>
      </c>
      <c r="BJ342" t="s">
        <v>5452</v>
      </c>
      <c r="BK342" t="s">
        <v>98</v>
      </c>
      <c r="BL342" t="s">
        <v>5453</v>
      </c>
      <c r="BM342" t="s">
        <v>5752</v>
      </c>
      <c r="BN342" t="s">
        <v>74</v>
      </c>
      <c r="BO342" t="s">
        <v>1900</v>
      </c>
      <c r="BP342" t="s">
        <v>74</v>
      </c>
      <c r="BQ342" t="s">
        <v>74</v>
      </c>
      <c r="BR342" t="s">
        <v>101</v>
      </c>
      <c r="BS342" t="s">
        <v>5753</v>
      </c>
      <c r="BT342" t="str">
        <f>HYPERLINK("https%3A%2F%2Fwww.webofscience.com%2Fwos%2Fwoscc%2Ffull-record%2FWOS:000233964500001","View Full Record in Web of Science")</f>
        <v>View Full Record in Web of Science</v>
      </c>
    </row>
    <row r="343" spans="1:72" x14ac:dyDescent="0.15">
      <c r="A343" t="s">
        <v>72</v>
      </c>
      <c r="B343" t="s">
        <v>5754</v>
      </c>
      <c r="C343" t="s">
        <v>74</v>
      </c>
      <c r="D343" t="s">
        <v>74</v>
      </c>
      <c r="E343" t="s">
        <v>74</v>
      </c>
      <c r="F343" t="s">
        <v>5754</v>
      </c>
      <c r="G343" t="s">
        <v>74</v>
      </c>
      <c r="H343" t="s">
        <v>74</v>
      </c>
      <c r="I343" t="s">
        <v>5755</v>
      </c>
      <c r="J343" t="s">
        <v>5756</v>
      </c>
      <c r="K343" t="s">
        <v>74</v>
      </c>
      <c r="L343" t="s">
        <v>74</v>
      </c>
      <c r="M343" t="s">
        <v>77</v>
      </c>
      <c r="N343" t="s">
        <v>78</v>
      </c>
      <c r="O343" t="s">
        <v>74</v>
      </c>
      <c r="P343" t="s">
        <v>74</v>
      </c>
      <c r="Q343" t="s">
        <v>74</v>
      </c>
      <c r="R343" t="s">
        <v>74</v>
      </c>
      <c r="S343" t="s">
        <v>74</v>
      </c>
      <c r="T343" t="s">
        <v>5757</v>
      </c>
      <c r="U343" t="s">
        <v>5758</v>
      </c>
      <c r="V343" t="s">
        <v>5759</v>
      </c>
      <c r="W343" t="s">
        <v>5760</v>
      </c>
      <c r="X343" t="s">
        <v>5761</v>
      </c>
      <c r="Y343" t="s">
        <v>5762</v>
      </c>
      <c r="Z343" t="s">
        <v>5763</v>
      </c>
      <c r="AA343" t="s">
        <v>74</v>
      </c>
      <c r="AB343" t="s">
        <v>3108</v>
      </c>
      <c r="AC343" t="s">
        <v>74</v>
      </c>
      <c r="AD343" t="s">
        <v>74</v>
      </c>
      <c r="AE343" t="s">
        <v>74</v>
      </c>
      <c r="AF343" t="s">
        <v>74</v>
      </c>
      <c r="AG343">
        <v>57</v>
      </c>
      <c r="AH343">
        <v>38</v>
      </c>
      <c r="AI343">
        <v>39</v>
      </c>
      <c r="AJ343">
        <v>1</v>
      </c>
      <c r="AK343">
        <v>10</v>
      </c>
      <c r="AL343" t="s">
        <v>5764</v>
      </c>
      <c r="AM343" t="s">
        <v>5765</v>
      </c>
      <c r="AN343" t="s">
        <v>5766</v>
      </c>
      <c r="AO343" t="s">
        <v>5767</v>
      </c>
      <c r="AP343" t="s">
        <v>74</v>
      </c>
      <c r="AQ343" t="s">
        <v>74</v>
      </c>
      <c r="AR343" t="s">
        <v>5768</v>
      </c>
      <c r="AS343" t="s">
        <v>5769</v>
      </c>
      <c r="AT343" t="s">
        <v>5770</v>
      </c>
      <c r="AU343">
        <v>2005</v>
      </c>
      <c r="AV343">
        <v>27</v>
      </c>
      <c r="AW343">
        <v>3</v>
      </c>
      <c r="AX343" t="s">
        <v>74</v>
      </c>
      <c r="AY343" t="s">
        <v>74</v>
      </c>
      <c r="AZ343" t="s">
        <v>74</v>
      </c>
      <c r="BA343" t="s">
        <v>74</v>
      </c>
      <c r="BB343">
        <v>641</v>
      </c>
      <c r="BC343">
        <v>651</v>
      </c>
      <c r="BD343" t="s">
        <v>74</v>
      </c>
      <c r="BE343" t="s">
        <v>5771</v>
      </c>
      <c r="BF343" t="str">
        <f>HYPERLINK("http://dx.doi.org/10.2989/18142320509504124","http://dx.doi.org/10.2989/18142320509504124")</f>
        <v>http://dx.doi.org/10.2989/18142320509504124</v>
      </c>
      <c r="BG343" t="s">
        <v>74</v>
      </c>
      <c r="BH343" t="s">
        <v>74</v>
      </c>
      <c r="BI343">
        <v>11</v>
      </c>
      <c r="BJ343" t="s">
        <v>206</v>
      </c>
      <c r="BK343" t="s">
        <v>98</v>
      </c>
      <c r="BL343" t="s">
        <v>206</v>
      </c>
      <c r="BM343" t="s">
        <v>5772</v>
      </c>
      <c r="BN343" t="s">
        <v>74</v>
      </c>
      <c r="BO343" t="s">
        <v>74</v>
      </c>
      <c r="BP343" t="s">
        <v>74</v>
      </c>
      <c r="BQ343" t="s">
        <v>74</v>
      </c>
      <c r="BR343" t="s">
        <v>101</v>
      </c>
      <c r="BS343" t="s">
        <v>5773</v>
      </c>
      <c r="BT343" t="str">
        <f>HYPERLINK("https%3A%2F%2Fwww.webofscience.com%2Fwos%2Fwoscc%2Ffull-record%2FWOS:000235265300013","View Full Record in Web of Science")</f>
        <v>View Full Record in Web of Science</v>
      </c>
    </row>
    <row r="344" spans="1:72" x14ac:dyDescent="0.15">
      <c r="A344" t="s">
        <v>72</v>
      </c>
      <c r="B344" t="s">
        <v>5774</v>
      </c>
      <c r="C344" t="s">
        <v>74</v>
      </c>
      <c r="D344" t="s">
        <v>74</v>
      </c>
      <c r="E344" t="s">
        <v>74</v>
      </c>
      <c r="F344" t="s">
        <v>5774</v>
      </c>
      <c r="G344" t="s">
        <v>74</v>
      </c>
      <c r="H344" t="s">
        <v>74</v>
      </c>
      <c r="I344" t="s">
        <v>5775</v>
      </c>
      <c r="J344" t="s">
        <v>5776</v>
      </c>
      <c r="K344" t="s">
        <v>74</v>
      </c>
      <c r="L344" t="s">
        <v>74</v>
      </c>
      <c r="M344" t="s">
        <v>77</v>
      </c>
      <c r="N344" t="s">
        <v>5777</v>
      </c>
      <c r="O344" t="s">
        <v>74</v>
      </c>
      <c r="P344" t="s">
        <v>74</v>
      </c>
      <c r="Q344" t="s">
        <v>74</v>
      </c>
      <c r="R344" t="s">
        <v>74</v>
      </c>
      <c r="S344" t="s">
        <v>74</v>
      </c>
      <c r="T344" t="s">
        <v>74</v>
      </c>
      <c r="U344" t="s">
        <v>74</v>
      </c>
      <c r="V344" t="s">
        <v>74</v>
      </c>
      <c r="W344" t="s">
        <v>74</v>
      </c>
      <c r="X344" t="s">
        <v>74</v>
      </c>
      <c r="Y344" t="s">
        <v>74</v>
      </c>
      <c r="Z344" t="s">
        <v>74</v>
      </c>
      <c r="AA344" t="s">
        <v>74</v>
      </c>
      <c r="AB344" t="s">
        <v>5778</v>
      </c>
      <c r="AC344" t="s">
        <v>74</v>
      </c>
      <c r="AD344" t="s">
        <v>74</v>
      </c>
      <c r="AE344" t="s">
        <v>74</v>
      </c>
      <c r="AF344" t="s">
        <v>74</v>
      </c>
      <c r="AG344">
        <v>0</v>
      </c>
      <c r="AH344">
        <v>0</v>
      </c>
      <c r="AI344">
        <v>0</v>
      </c>
      <c r="AJ344">
        <v>0</v>
      </c>
      <c r="AK344">
        <v>1</v>
      </c>
      <c r="AL344" t="s">
        <v>2239</v>
      </c>
      <c r="AM344" t="s">
        <v>89</v>
      </c>
      <c r="AN344" t="s">
        <v>5779</v>
      </c>
      <c r="AO344" t="s">
        <v>5780</v>
      </c>
      <c r="AP344" t="s">
        <v>74</v>
      </c>
      <c r="AQ344" t="s">
        <v>74</v>
      </c>
      <c r="AR344" t="s">
        <v>5781</v>
      </c>
      <c r="AS344" t="s">
        <v>5782</v>
      </c>
      <c r="AT344" t="s">
        <v>5770</v>
      </c>
      <c r="AU344">
        <v>2005</v>
      </c>
      <c r="AV344">
        <v>17</v>
      </c>
      <c r="AW344">
        <v>4</v>
      </c>
      <c r="AX344" t="s">
        <v>74</v>
      </c>
      <c r="AY344" t="s">
        <v>74</v>
      </c>
      <c r="AZ344" t="s">
        <v>74</v>
      </c>
      <c r="BA344" t="s">
        <v>74</v>
      </c>
      <c r="BB344">
        <v>481</v>
      </c>
      <c r="BC344">
        <v>481</v>
      </c>
      <c r="BD344" t="s">
        <v>74</v>
      </c>
      <c r="BE344" t="s">
        <v>5783</v>
      </c>
      <c r="BF344" t="str">
        <f>HYPERLINK("http://dx.doi.org/10.1017/S0954102005002993","http://dx.doi.org/10.1017/S0954102005002993")</f>
        <v>http://dx.doi.org/10.1017/S0954102005002993</v>
      </c>
      <c r="BG344" t="s">
        <v>74</v>
      </c>
      <c r="BH344" t="s">
        <v>74</v>
      </c>
      <c r="BI344">
        <v>1</v>
      </c>
      <c r="BJ344" t="s">
        <v>5784</v>
      </c>
      <c r="BK344" t="s">
        <v>98</v>
      </c>
      <c r="BL344" t="s">
        <v>5785</v>
      </c>
      <c r="BM344" t="s">
        <v>5786</v>
      </c>
      <c r="BN344" t="s">
        <v>74</v>
      </c>
      <c r="BO344" t="s">
        <v>1900</v>
      </c>
      <c r="BP344" t="s">
        <v>74</v>
      </c>
      <c r="BQ344" t="s">
        <v>74</v>
      </c>
      <c r="BR344" t="s">
        <v>101</v>
      </c>
      <c r="BS344" t="s">
        <v>5787</v>
      </c>
      <c r="BT344" t="str">
        <f>HYPERLINK("https%3A%2F%2Fwww.webofscience.com%2Fwos%2Fwoscc%2Ffull-record%2FWOS:000233727800001","View Full Record in Web of Science")</f>
        <v>View Full Record in Web of Science</v>
      </c>
    </row>
    <row r="345" spans="1:72" x14ac:dyDescent="0.15">
      <c r="A345" t="s">
        <v>72</v>
      </c>
      <c r="B345" t="s">
        <v>5788</v>
      </c>
      <c r="C345" t="s">
        <v>74</v>
      </c>
      <c r="D345" t="s">
        <v>74</v>
      </c>
      <c r="E345" t="s">
        <v>74</v>
      </c>
      <c r="F345" t="s">
        <v>5788</v>
      </c>
      <c r="G345" t="s">
        <v>74</v>
      </c>
      <c r="H345" t="s">
        <v>74</v>
      </c>
      <c r="I345" t="s">
        <v>5789</v>
      </c>
      <c r="J345" t="s">
        <v>5776</v>
      </c>
      <c r="K345" t="s">
        <v>74</v>
      </c>
      <c r="L345" t="s">
        <v>74</v>
      </c>
      <c r="M345" t="s">
        <v>77</v>
      </c>
      <c r="N345" t="s">
        <v>5777</v>
      </c>
      <c r="O345" t="s">
        <v>74</v>
      </c>
      <c r="P345" t="s">
        <v>74</v>
      </c>
      <c r="Q345" t="s">
        <v>74</v>
      </c>
      <c r="R345" t="s">
        <v>74</v>
      </c>
      <c r="S345" t="s">
        <v>74</v>
      </c>
      <c r="T345" t="s">
        <v>74</v>
      </c>
      <c r="U345" t="s">
        <v>74</v>
      </c>
      <c r="V345" t="s">
        <v>74</v>
      </c>
      <c r="W345" t="s">
        <v>5790</v>
      </c>
      <c r="X345" t="s">
        <v>74</v>
      </c>
      <c r="Y345" t="s">
        <v>5791</v>
      </c>
      <c r="Z345" t="s">
        <v>74</v>
      </c>
      <c r="AA345" t="s">
        <v>5792</v>
      </c>
      <c r="AB345" t="s">
        <v>5793</v>
      </c>
      <c r="AC345" t="s">
        <v>74</v>
      </c>
      <c r="AD345" t="s">
        <v>74</v>
      </c>
      <c r="AE345" t="s">
        <v>74</v>
      </c>
      <c r="AF345" t="s">
        <v>74</v>
      </c>
      <c r="AG345">
        <v>0</v>
      </c>
      <c r="AH345">
        <v>0</v>
      </c>
      <c r="AI345">
        <v>0</v>
      </c>
      <c r="AJ345">
        <v>0</v>
      </c>
      <c r="AK345">
        <v>1</v>
      </c>
      <c r="AL345" t="s">
        <v>2239</v>
      </c>
      <c r="AM345" t="s">
        <v>89</v>
      </c>
      <c r="AN345" t="s">
        <v>5779</v>
      </c>
      <c r="AO345" t="s">
        <v>5780</v>
      </c>
      <c r="AP345" t="s">
        <v>74</v>
      </c>
      <c r="AQ345" t="s">
        <v>74</v>
      </c>
      <c r="AR345" t="s">
        <v>5781</v>
      </c>
      <c r="AS345" t="s">
        <v>5782</v>
      </c>
      <c r="AT345" t="s">
        <v>5770</v>
      </c>
      <c r="AU345">
        <v>2005</v>
      </c>
      <c r="AV345">
        <v>17</v>
      </c>
      <c r="AW345">
        <v>4</v>
      </c>
      <c r="AX345" t="s">
        <v>74</v>
      </c>
      <c r="AY345" t="s">
        <v>74</v>
      </c>
      <c r="AZ345" t="s">
        <v>74</v>
      </c>
      <c r="BA345" t="s">
        <v>74</v>
      </c>
      <c r="BB345">
        <v>485</v>
      </c>
      <c r="BC345">
        <v>486</v>
      </c>
      <c r="BD345" t="s">
        <v>74</v>
      </c>
      <c r="BE345" t="s">
        <v>74</v>
      </c>
      <c r="BF345" t="s">
        <v>74</v>
      </c>
      <c r="BG345" t="s">
        <v>74</v>
      </c>
      <c r="BH345" t="s">
        <v>74</v>
      </c>
      <c r="BI345">
        <v>2</v>
      </c>
      <c r="BJ345" t="s">
        <v>5784</v>
      </c>
      <c r="BK345" t="s">
        <v>98</v>
      </c>
      <c r="BL345" t="s">
        <v>5785</v>
      </c>
      <c r="BM345" t="s">
        <v>5786</v>
      </c>
      <c r="BN345" t="s">
        <v>74</v>
      </c>
      <c r="BO345" t="s">
        <v>74</v>
      </c>
      <c r="BP345" t="s">
        <v>74</v>
      </c>
      <c r="BQ345" t="s">
        <v>74</v>
      </c>
      <c r="BR345" t="s">
        <v>101</v>
      </c>
      <c r="BS345" t="s">
        <v>5794</v>
      </c>
      <c r="BT345" t="str">
        <f>HYPERLINK("https%3A%2F%2Fwww.webofscience.com%2Fwos%2Fwoscc%2Ffull-record%2FWOS:000233727800002","View Full Record in Web of Science")</f>
        <v>View Full Record in Web of Science</v>
      </c>
    </row>
    <row r="346" spans="1:72" x14ac:dyDescent="0.15">
      <c r="A346" t="s">
        <v>72</v>
      </c>
      <c r="B346" t="s">
        <v>5795</v>
      </c>
      <c r="C346" t="s">
        <v>74</v>
      </c>
      <c r="D346" t="s">
        <v>74</v>
      </c>
      <c r="E346" t="s">
        <v>74</v>
      </c>
      <c r="F346" t="s">
        <v>5795</v>
      </c>
      <c r="G346" t="s">
        <v>74</v>
      </c>
      <c r="H346" t="s">
        <v>74</v>
      </c>
      <c r="I346" t="s">
        <v>5796</v>
      </c>
      <c r="J346" t="s">
        <v>5776</v>
      </c>
      <c r="K346" t="s">
        <v>74</v>
      </c>
      <c r="L346" t="s">
        <v>74</v>
      </c>
      <c r="M346" t="s">
        <v>77</v>
      </c>
      <c r="N346" t="s">
        <v>335</v>
      </c>
      <c r="O346" t="s">
        <v>5797</v>
      </c>
      <c r="P346" t="s">
        <v>5798</v>
      </c>
      <c r="Q346" t="s">
        <v>5799</v>
      </c>
      <c r="R346" t="s">
        <v>74</v>
      </c>
      <c r="S346" t="s">
        <v>74</v>
      </c>
      <c r="T346" t="s">
        <v>5800</v>
      </c>
      <c r="U346" t="s">
        <v>5801</v>
      </c>
      <c r="V346" t="s">
        <v>5802</v>
      </c>
      <c r="W346" t="s">
        <v>801</v>
      </c>
      <c r="X346" t="s">
        <v>788</v>
      </c>
      <c r="Y346" t="s">
        <v>3055</v>
      </c>
      <c r="Z346" t="s">
        <v>5803</v>
      </c>
      <c r="AA346" t="s">
        <v>5804</v>
      </c>
      <c r="AB346" t="s">
        <v>5805</v>
      </c>
      <c r="AC346" t="s">
        <v>74</v>
      </c>
      <c r="AD346" t="s">
        <v>74</v>
      </c>
      <c r="AE346" t="s">
        <v>74</v>
      </c>
      <c r="AF346" t="s">
        <v>74</v>
      </c>
      <c r="AG346">
        <v>41</v>
      </c>
      <c r="AH346">
        <v>15</v>
      </c>
      <c r="AI346">
        <v>17</v>
      </c>
      <c r="AJ346">
        <v>0</v>
      </c>
      <c r="AK346">
        <v>20</v>
      </c>
      <c r="AL346" t="s">
        <v>2239</v>
      </c>
      <c r="AM346" t="s">
        <v>89</v>
      </c>
      <c r="AN346" t="s">
        <v>4047</v>
      </c>
      <c r="AO346" t="s">
        <v>5780</v>
      </c>
      <c r="AP346" t="s">
        <v>5806</v>
      </c>
      <c r="AQ346" t="s">
        <v>74</v>
      </c>
      <c r="AR346" t="s">
        <v>5781</v>
      </c>
      <c r="AS346" t="s">
        <v>5782</v>
      </c>
      <c r="AT346" t="s">
        <v>5770</v>
      </c>
      <c r="AU346">
        <v>2005</v>
      </c>
      <c r="AV346">
        <v>17</v>
      </c>
      <c r="AW346">
        <v>4</v>
      </c>
      <c r="AX346" t="s">
        <v>74</v>
      </c>
      <c r="AY346" t="s">
        <v>74</v>
      </c>
      <c r="AZ346" t="s">
        <v>74</v>
      </c>
      <c r="BA346" t="s">
        <v>74</v>
      </c>
      <c r="BB346">
        <v>487</v>
      </c>
      <c r="BC346">
        <v>495</v>
      </c>
      <c r="BD346" t="s">
        <v>74</v>
      </c>
      <c r="BE346" t="s">
        <v>5807</v>
      </c>
      <c r="BF346" t="str">
        <f>HYPERLINK("http://dx.doi.org/10.1017/S0954102005002919","http://dx.doi.org/10.1017/S0954102005002919")</f>
        <v>http://dx.doi.org/10.1017/S0954102005002919</v>
      </c>
      <c r="BG346" t="s">
        <v>74</v>
      </c>
      <c r="BH346" t="s">
        <v>74</v>
      </c>
      <c r="BI346">
        <v>9</v>
      </c>
      <c r="BJ346" t="s">
        <v>5784</v>
      </c>
      <c r="BK346" t="s">
        <v>1411</v>
      </c>
      <c r="BL346" t="s">
        <v>5785</v>
      </c>
      <c r="BM346" t="s">
        <v>5786</v>
      </c>
      <c r="BN346" t="s">
        <v>74</v>
      </c>
      <c r="BO346" t="s">
        <v>74</v>
      </c>
      <c r="BP346" t="s">
        <v>74</v>
      </c>
      <c r="BQ346" t="s">
        <v>74</v>
      </c>
      <c r="BR346" t="s">
        <v>101</v>
      </c>
      <c r="BS346" t="s">
        <v>5808</v>
      </c>
      <c r="BT346" t="str">
        <f>HYPERLINK("https%3A%2F%2Fwww.webofscience.com%2Fwos%2Fwoscc%2Ffull-record%2FWOS:000233727800003","View Full Record in Web of Science")</f>
        <v>View Full Record in Web of Science</v>
      </c>
    </row>
    <row r="347" spans="1:72" x14ac:dyDescent="0.15">
      <c r="A347" t="s">
        <v>72</v>
      </c>
      <c r="B347" t="s">
        <v>5809</v>
      </c>
      <c r="C347" t="s">
        <v>74</v>
      </c>
      <c r="D347" t="s">
        <v>74</v>
      </c>
      <c r="E347" t="s">
        <v>74</v>
      </c>
      <c r="F347" t="s">
        <v>5809</v>
      </c>
      <c r="G347" t="s">
        <v>74</v>
      </c>
      <c r="H347" t="s">
        <v>74</v>
      </c>
      <c r="I347" t="s">
        <v>5810</v>
      </c>
      <c r="J347" t="s">
        <v>5776</v>
      </c>
      <c r="K347" t="s">
        <v>74</v>
      </c>
      <c r="L347" t="s">
        <v>74</v>
      </c>
      <c r="M347" t="s">
        <v>77</v>
      </c>
      <c r="N347" t="s">
        <v>335</v>
      </c>
      <c r="O347" t="s">
        <v>5797</v>
      </c>
      <c r="P347" t="s">
        <v>5798</v>
      </c>
      <c r="Q347" t="s">
        <v>5799</v>
      </c>
      <c r="R347" t="s">
        <v>74</v>
      </c>
      <c r="S347" t="s">
        <v>74</v>
      </c>
      <c r="T347" t="s">
        <v>5811</v>
      </c>
      <c r="U347" t="s">
        <v>5812</v>
      </c>
      <c r="V347" t="s">
        <v>5813</v>
      </c>
      <c r="W347" t="s">
        <v>801</v>
      </c>
      <c r="X347" t="s">
        <v>788</v>
      </c>
      <c r="Y347" t="s">
        <v>3055</v>
      </c>
      <c r="Z347" t="s">
        <v>5814</v>
      </c>
      <c r="AA347" t="s">
        <v>74</v>
      </c>
      <c r="AB347" t="s">
        <v>74</v>
      </c>
      <c r="AC347" t="s">
        <v>74</v>
      </c>
      <c r="AD347" t="s">
        <v>74</v>
      </c>
      <c r="AE347" t="s">
        <v>74</v>
      </c>
      <c r="AF347" t="s">
        <v>74</v>
      </c>
      <c r="AG347">
        <v>94</v>
      </c>
      <c r="AH347">
        <v>105</v>
      </c>
      <c r="AI347">
        <v>116</v>
      </c>
      <c r="AJ347">
        <v>1</v>
      </c>
      <c r="AK347">
        <v>42</v>
      </c>
      <c r="AL347" t="s">
        <v>2239</v>
      </c>
      <c r="AM347" t="s">
        <v>89</v>
      </c>
      <c r="AN347" t="s">
        <v>4047</v>
      </c>
      <c r="AO347" t="s">
        <v>5780</v>
      </c>
      <c r="AP347" t="s">
        <v>5806</v>
      </c>
      <c r="AQ347" t="s">
        <v>74</v>
      </c>
      <c r="AR347" t="s">
        <v>5781</v>
      </c>
      <c r="AS347" t="s">
        <v>5782</v>
      </c>
      <c r="AT347" t="s">
        <v>5770</v>
      </c>
      <c r="AU347">
        <v>2005</v>
      </c>
      <c r="AV347">
        <v>17</v>
      </c>
      <c r="AW347">
        <v>4</v>
      </c>
      <c r="AX347" t="s">
        <v>74</v>
      </c>
      <c r="AY347" t="s">
        <v>74</v>
      </c>
      <c r="AZ347" t="s">
        <v>74</v>
      </c>
      <c r="BA347" t="s">
        <v>74</v>
      </c>
      <c r="BB347">
        <v>497</v>
      </c>
      <c r="BC347">
        <v>507</v>
      </c>
      <c r="BD347" t="s">
        <v>74</v>
      </c>
      <c r="BE347" t="s">
        <v>5815</v>
      </c>
      <c r="BF347" t="str">
        <f>HYPERLINK("http://dx.doi.org/10.1017/S0954102005002920","http://dx.doi.org/10.1017/S0954102005002920")</f>
        <v>http://dx.doi.org/10.1017/S0954102005002920</v>
      </c>
      <c r="BG347" t="s">
        <v>74</v>
      </c>
      <c r="BH347" t="s">
        <v>74</v>
      </c>
      <c r="BI347">
        <v>11</v>
      </c>
      <c r="BJ347" t="s">
        <v>5784</v>
      </c>
      <c r="BK347" t="s">
        <v>1411</v>
      </c>
      <c r="BL347" t="s">
        <v>5785</v>
      </c>
      <c r="BM347" t="s">
        <v>5786</v>
      </c>
      <c r="BN347" t="s">
        <v>74</v>
      </c>
      <c r="BO347" t="s">
        <v>74</v>
      </c>
      <c r="BP347" t="s">
        <v>74</v>
      </c>
      <c r="BQ347" t="s">
        <v>74</v>
      </c>
      <c r="BR347" t="s">
        <v>101</v>
      </c>
      <c r="BS347" t="s">
        <v>5816</v>
      </c>
      <c r="BT347" t="str">
        <f>HYPERLINK("https%3A%2F%2Fwww.webofscience.com%2Fwos%2Fwoscc%2Ffull-record%2FWOS:000233727800004","View Full Record in Web of Science")</f>
        <v>View Full Record in Web of Science</v>
      </c>
    </row>
    <row r="348" spans="1:72" x14ac:dyDescent="0.15">
      <c r="A348" t="s">
        <v>72</v>
      </c>
      <c r="B348" t="s">
        <v>5817</v>
      </c>
      <c r="C348" t="s">
        <v>74</v>
      </c>
      <c r="D348" t="s">
        <v>74</v>
      </c>
      <c r="E348" t="s">
        <v>74</v>
      </c>
      <c r="F348" t="s">
        <v>5817</v>
      </c>
      <c r="G348" t="s">
        <v>74</v>
      </c>
      <c r="H348" t="s">
        <v>74</v>
      </c>
      <c r="I348" t="s">
        <v>5818</v>
      </c>
      <c r="J348" t="s">
        <v>5776</v>
      </c>
      <c r="K348" t="s">
        <v>74</v>
      </c>
      <c r="L348" t="s">
        <v>74</v>
      </c>
      <c r="M348" t="s">
        <v>77</v>
      </c>
      <c r="N348" t="s">
        <v>335</v>
      </c>
      <c r="O348" t="s">
        <v>5797</v>
      </c>
      <c r="P348" t="s">
        <v>5798</v>
      </c>
      <c r="Q348" t="s">
        <v>5799</v>
      </c>
      <c r="R348" t="s">
        <v>74</v>
      </c>
      <c r="S348" t="s">
        <v>74</v>
      </c>
      <c r="T348" t="s">
        <v>5819</v>
      </c>
      <c r="U348" t="s">
        <v>5820</v>
      </c>
      <c r="V348" t="s">
        <v>5821</v>
      </c>
      <c r="W348" t="s">
        <v>5822</v>
      </c>
      <c r="X348" t="s">
        <v>5823</v>
      </c>
      <c r="Y348" t="s">
        <v>5824</v>
      </c>
      <c r="Z348" t="s">
        <v>5825</v>
      </c>
      <c r="AA348" t="s">
        <v>5826</v>
      </c>
      <c r="AB348" t="s">
        <v>74</v>
      </c>
      <c r="AC348" t="s">
        <v>74</v>
      </c>
      <c r="AD348" t="s">
        <v>74</v>
      </c>
      <c r="AE348" t="s">
        <v>74</v>
      </c>
      <c r="AF348" t="s">
        <v>74</v>
      </c>
      <c r="AG348">
        <v>137</v>
      </c>
      <c r="AH348">
        <v>29</v>
      </c>
      <c r="AI348">
        <v>33</v>
      </c>
      <c r="AJ348">
        <v>1</v>
      </c>
      <c r="AK348">
        <v>32</v>
      </c>
      <c r="AL348" t="s">
        <v>2239</v>
      </c>
      <c r="AM348" t="s">
        <v>89</v>
      </c>
      <c r="AN348" t="s">
        <v>4047</v>
      </c>
      <c r="AO348" t="s">
        <v>5780</v>
      </c>
      <c r="AP348" t="s">
        <v>5806</v>
      </c>
      <c r="AQ348" t="s">
        <v>74</v>
      </c>
      <c r="AR348" t="s">
        <v>5781</v>
      </c>
      <c r="AS348" t="s">
        <v>5782</v>
      </c>
      <c r="AT348" t="s">
        <v>5770</v>
      </c>
      <c r="AU348">
        <v>2005</v>
      </c>
      <c r="AV348">
        <v>17</v>
      </c>
      <c r="AW348">
        <v>4</v>
      </c>
      <c r="AX348" t="s">
        <v>74</v>
      </c>
      <c r="AY348" t="s">
        <v>74</v>
      </c>
      <c r="AZ348" t="s">
        <v>74</v>
      </c>
      <c r="BA348" t="s">
        <v>74</v>
      </c>
      <c r="BB348">
        <v>509</v>
      </c>
      <c r="BC348">
        <v>521</v>
      </c>
      <c r="BD348" t="s">
        <v>74</v>
      </c>
      <c r="BE348" t="s">
        <v>5827</v>
      </c>
      <c r="BF348" t="str">
        <f>HYPERLINK("http://dx.doi.org/10.1017/S0954102005002932","http://dx.doi.org/10.1017/S0954102005002932")</f>
        <v>http://dx.doi.org/10.1017/S0954102005002932</v>
      </c>
      <c r="BG348" t="s">
        <v>74</v>
      </c>
      <c r="BH348" t="s">
        <v>74</v>
      </c>
      <c r="BI348">
        <v>13</v>
      </c>
      <c r="BJ348" t="s">
        <v>5784</v>
      </c>
      <c r="BK348" t="s">
        <v>1411</v>
      </c>
      <c r="BL348" t="s">
        <v>5785</v>
      </c>
      <c r="BM348" t="s">
        <v>5786</v>
      </c>
      <c r="BN348" t="s">
        <v>74</v>
      </c>
      <c r="BO348" t="s">
        <v>74</v>
      </c>
      <c r="BP348" t="s">
        <v>74</v>
      </c>
      <c r="BQ348" t="s">
        <v>74</v>
      </c>
      <c r="BR348" t="s">
        <v>101</v>
      </c>
      <c r="BS348" t="s">
        <v>5828</v>
      </c>
      <c r="BT348" t="str">
        <f>HYPERLINK("https%3A%2F%2Fwww.webofscience.com%2Fwos%2Fwoscc%2Ffull-record%2FWOS:000233727800005","View Full Record in Web of Science")</f>
        <v>View Full Record in Web of Science</v>
      </c>
    </row>
    <row r="349" spans="1:72" x14ac:dyDescent="0.15">
      <c r="A349" t="s">
        <v>72</v>
      </c>
      <c r="B349" t="s">
        <v>5829</v>
      </c>
      <c r="C349" t="s">
        <v>74</v>
      </c>
      <c r="D349" t="s">
        <v>74</v>
      </c>
      <c r="E349" t="s">
        <v>74</v>
      </c>
      <c r="F349" t="s">
        <v>5829</v>
      </c>
      <c r="G349" t="s">
        <v>74</v>
      </c>
      <c r="H349" t="s">
        <v>74</v>
      </c>
      <c r="I349" t="s">
        <v>5830</v>
      </c>
      <c r="J349" t="s">
        <v>5776</v>
      </c>
      <c r="K349" t="s">
        <v>74</v>
      </c>
      <c r="L349" t="s">
        <v>74</v>
      </c>
      <c r="M349" t="s">
        <v>77</v>
      </c>
      <c r="N349" t="s">
        <v>335</v>
      </c>
      <c r="O349" t="s">
        <v>5797</v>
      </c>
      <c r="P349" t="s">
        <v>5798</v>
      </c>
      <c r="Q349" t="s">
        <v>5799</v>
      </c>
      <c r="R349" t="s">
        <v>74</v>
      </c>
      <c r="S349" t="s">
        <v>74</v>
      </c>
      <c r="T349" t="s">
        <v>5831</v>
      </c>
      <c r="U349" t="s">
        <v>5832</v>
      </c>
      <c r="V349" t="s">
        <v>5833</v>
      </c>
      <c r="W349" t="s">
        <v>5834</v>
      </c>
      <c r="X349" t="s">
        <v>5835</v>
      </c>
      <c r="Y349" t="s">
        <v>5836</v>
      </c>
      <c r="Z349" t="s">
        <v>5837</v>
      </c>
      <c r="AA349" t="s">
        <v>5838</v>
      </c>
      <c r="AB349" t="s">
        <v>74</v>
      </c>
      <c r="AC349" t="s">
        <v>74</v>
      </c>
      <c r="AD349" t="s">
        <v>74</v>
      </c>
      <c r="AE349" t="s">
        <v>74</v>
      </c>
      <c r="AF349" t="s">
        <v>74</v>
      </c>
      <c r="AG349">
        <v>104</v>
      </c>
      <c r="AH349">
        <v>41</v>
      </c>
      <c r="AI349">
        <v>50</v>
      </c>
      <c r="AJ349">
        <v>4</v>
      </c>
      <c r="AK349">
        <v>62</v>
      </c>
      <c r="AL349" t="s">
        <v>2239</v>
      </c>
      <c r="AM349" t="s">
        <v>89</v>
      </c>
      <c r="AN349" t="s">
        <v>4047</v>
      </c>
      <c r="AO349" t="s">
        <v>5780</v>
      </c>
      <c r="AP349" t="s">
        <v>5806</v>
      </c>
      <c r="AQ349" t="s">
        <v>74</v>
      </c>
      <c r="AR349" t="s">
        <v>5781</v>
      </c>
      <c r="AS349" t="s">
        <v>5782</v>
      </c>
      <c r="AT349" t="s">
        <v>5770</v>
      </c>
      <c r="AU349">
        <v>2005</v>
      </c>
      <c r="AV349">
        <v>17</v>
      </c>
      <c r="AW349">
        <v>4</v>
      </c>
      <c r="AX349" t="s">
        <v>74</v>
      </c>
      <c r="AY349" t="s">
        <v>74</v>
      </c>
      <c r="AZ349" t="s">
        <v>74</v>
      </c>
      <c r="BA349" t="s">
        <v>74</v>
      </c>
      <c r="BB349">
        <v>523</v>
      </c>
      <c r="BC349">
        <v>531</v>
      </c>
      <c r="BD349" t="s">
        <v>74</v>
      </c>
      <c r="BE349" t="s">
        <v>5839</v>
      </c>
      <c r="BF349" t="str">
        <f>HYPERLINK("http://dx.doi.org/10.1017/S0954102005002944","http://dx.doi.org/10.1017/S0954102005002944")</f>
        <v>http://dx.doi.org/10.1017/S0954102005002944</v>
      </c>
      <c r="BG349" t="s">
        <v>74</v>
      </c>
      <c r="BH349" t="s">
        <v>74</v>
      </c>
      <c r="BI349">
        <v>9</v>
      </c>
      <c r="BJ349" t="s">
        <v>5784</v>
      </c>
      <c r="BK349" t="s">
        <v>1411</v>
      </c>
      <c r="BL349" t="s">
        <v>5785</v>
      </c>
      <c r="BM349" t="s">
        <v>5786</v>
      </c>
      <c r="BN349" t="s">
        <v>74</v>
      </c>
      <c r="BO349" t="s">
        <v>74</v>
      </c>
      <c r="BP349" t="s">
        <v>74</v>
      </c>
      <c r="BQ349" t="s">
        <v>74</v>
      </c>
      <c r="BR349" t="s">
        <v>101</v>
      </c>
      <c r="BS349" t="s">
        <v>5840</v>
      </c>
      <c r="BT349" t="str">
        <f>HYPERLINK("https%3A%2F%2Fwww.webofscience.com%2Fwos%2Fwoscc%2Ffull-record%2FWOS:000233727800006","View Full Record in Web of Science")</f>
        <v>View Full Record in Web of Science</v>
      </c>
    </row>
    <row r="350" spans="1:72" x14ac:dyDescent="0.15">
      <c r="A350" t="s">
        <v>72</v>
      </c>
      <c r="B350" t="s">
        <v>5841</v>
      </c>
      <c r="C350" t="s">
        <v>74</v>
      </c>
      <c r="D350" t="s">
        <v>74</v>
      </c>
      <c r="E350" t="s">
        <v>74</v>
      </c>
      <c r="F350" t="s">
        <v>5841</v>
      </c>
      <c r="G350" t="s">
        <v>74</v>
      </c>
      <c r="H350" t="s">
        <v>5842</v>
      </c>
      <c r="I350" t="s">
        <v>5843</v>
      </c>
      <c r="J350" t="s">
        <v>5776</v>
      </c>
      <c r="K350" t="s">
        <v>74</v>
      </c>
      <c r="L350" t="s">
        <v>74</v>
      </c>
      <c r="M350" t="s">
        <v>77</v>
      </c>
      <c r="N350" t="s">
        <v>335</v>
      </c>
      <c r="O350" t="s">
        <v>5797</v>
      </c>
      <c r="P350" t="s">
        <v>5798</v>
      </c>
      <c r="Q350" t="s">
        <v>5799</v>
      </c>
      <c r="R350" t="s">
        <v>74</v>
      </c>
      <c r="S350" t="s">
        <v>74</v>
      </c>
      <c r="T350" t="s">
        <v>5844</v>
      </c>
      <c r="U350" t="s">
        <v>5845</v>
      </c>
      <c r="V350" t="s">
        <v>5846</v>
      </c>
      <c r="W350" t="s">
        <v>5847</v>
      </c>
      <c r="X350" t="s">
        <v>5848</v>
      </c>
      <c r="Y350" t="s">
        <v>5849</v>
      </c>
      <c r="Z350" t="s">
        <v>5850</v>
      </c>
      <c r="AA350" t="s">
        <v>74</v>
      </c>
      <c r="AB350" t="s">
        <v>5851</v>
      </c>
      <c r="AC350" t="s">
        <v>74</v>
      </c>
      <c r="AD350" t="s">
        <v>74</v>
      </c>
      <c r="AE350" t="s">
        <v>74</v>
      </c>
      <c r="AF350" t="s">
        <v>74</v>
      </c>
      <c r="AG350">
        <v>18</v>
      </c>
      <c r="AH350">
        <v>3</v>
      </c>
      <c r="AI350">
        <v>3</v>
      </c>
      <c r="AJ350">
        <v>2</v>
      </c>
      <c r="AK350">
        <v>25</v>
      </c>
      <c r="AL350" t="s">
        <v>2239</v>
      </c>
      <c r="AM350" t="s">
        <v>89</v>
      </c>
      <c r="AN350" t="s">
        <v>4047</v>
      </c>
      <c r="AO350" t="s">
        <v>5780</v>
      </c>
      <c r="AP350" t="s">
        <v>5806</v>
      </c>
      <c r="AQ350" t="s">
        <v>74</v>
      </c>
      <c r="AR350" t="s">
        <v>5781</v>
      </c>
      <c r="AS350" t="s">
        <v>5782</v>
      </c>
      <c r="AT350" t="s">
        <v>5770</v>
      </c>
      <c r="AU350">
        <v>2005</v>
      </c>
      <c r="AV350">
        <v>17</v>
      </c>
      <c r="AW350">
        <v>4</v>
      </c>
      <c r="AX350" t="s">
        <v>74</v>
      </c>
      <c r="AY350" t="s">
        <v>74</v>
      </c>
      <c r="AZ350" t="s">
        <v>74</v>
      </c>
      <c r="BA350" t="s">
        <v>74</v>
      </c>
      <c r="BB350">
        <v>533</v>
      </c>
      <c r="BC350">
        <v>540</v>
      </c>
      <c r="BD350" t="s">
        <v>74</v>
      </c>
      <c r="BE350" t="s">
        <v>5852</v>
      </c>
      <c r="BF350" t="str">
        <f>HYPERLINK("http://dx.doi.org/10.1017/S0954102005002956","http://dx.doi.org/10.1017/S0954102005002956")</f>
        <v>http://dx.doi.org/10.1017/S0954102005002956</v>
      </c>
      <c r="BG350" t="s">
        <v>74</v>
      </c>
      <c r="BH350" t="s">
        <v>74</v>
      </c>
      <c r="BI350">
        <v>8</v>
      </c>
      <c r="BJ350" t="s">
        <v>5784</v>
      </c>
      <c r="BK350" t="s">
        <v>1411</v>
      </c>
      <c r="BL350" t="s">
        <v>5785</v>
      </c>
      <c r="BM350" t="s">
        <v>5786</v>
      </c>
      <c r="BN350" t="s">
        <v>74</v>
      </c>
      <c r="BO350" t="s">
        <v>74</v>
      </c>
      <c r="BP350" t="s">
        <v>74</v>
      </c>
      <c r="BQ350" t="s">
        <v>74</v>
      </c>
      <c r="BR350" t="s">
        <v>101</v>
      </c>
      <c r="BS350" t="s">
        <v>5853</v>
      </c>
      <c r="BT350" t="str">
        <f>HYPERLINK("https%3A%2F%2Fwww.webofscience.com%2Fwos%2Fwoscc%2Ffull-record%2FWOS:000233727800007","View Full Record in Web of Science")</f>
        <v>View Full Record in Web of Science</v>
      </c>
    </row>
    <row r="351" spans="1:72" x14ac:dyDescent="0.15">
      <c r="A351" t="s">
        <v>72</v>
      </c>
      <c r="B351" t="s">
        <v>5854</v>
      </c>
      <c r="C351" t="s">
        <v>74</v>
      </c>
      <c r="D351" t="s">
        <v>74</v>
      </c>
      <c r="E351" t="s">
        <v>74</v>
      </c>
      <c r="F351" t="s">
        <v>5854</v>
      </c>
      <c r="G351" t="s">
        <v>74</v>
      </c>
      <c r="H351" t="s">
        <v>74</v>
      </c>
      <c r="I351" t="s">
        <v>5855</v>
      </c>
      <c r="J351" t="s">
        <v>5776</v>
      </c>
      <c r="K351" t="s">
        <v>74</v>
      </c>
      <c r="L351" t="s">
        <v>74</v>
      </c>
      <c r="M351" t="s">
        <v>77</v>
      </c>
      <c r="N351" t="s">
        <v>335</v>
      </c>
      <c r="O351" t="s">
        <v>5797</v>
      </c>
      <c r="P351" t="s">
        <v>5798</v>
      </c>
      <c r="Q351" t="s">
        <v>5799</v>
      </c>
      <c r="R351" t="s">
        <v>74</v>
      </c>
      <c r="S351" t="s">
        <v>74</v>
      </c>
      <c r="T351" t="s">
        <v>5856</v>
      </c>
      <c r="U351" t="s">
        <v>5857</v>
      </c>
      <c r="V351" t="s">
        <v>5858</v>
      </c>
      <c r="W351" t="s">
        <v>5859</v>
      </c>
      <c r="X351" t="s">
        <v>5860</v>
      </c>
      <c r="Y351" t="s">
        <v>5861</v>
      </c>
      <c r="Z351" t="s">
        <v>5862</v>
      </c>
      <c r="AA351" t="s">
        <v>5863</v>
      </c>
      <c r="AB351" t="s">
        <v>5864</v>
      </c>
      <c r="AC351" t="s">
        <v>74</v>
      </c>
      <c r="AD351" t="s">
        <v>74</v>
      </c>
      <c r="AE351" t="s">
        <v>74</v>
      </c>
      <c r="AF351" t="s">
        <v>74</v>
      </c>
      <c r="AG351">
        <v>91</v>
      </c>
      <c r="AH351">
        <v>175</v>
      </c>
      <c r="AI351">
        <v>202</v>
      </c>
      <c r="AJ351">
        <v>0</v>
      </c>
      <c r="AK351">
        <v>39</v>
      </c>
      <c r="AL351" t="s">
        <v>2239</v>
      </c>
      <c r="AM351" t="s">
        <v>89</v>
      </c>
      <c r="AN351" t="s">
        <v>4047</v>
      </c>
      <c r="AO351" t="s">
        <v>5780</v>
      </c>
      <c r="AP351" t="s">
        <v>5806</v>
      </c>
      <c r="AQ351" t="s">
        <v>74</v>
      </c>
      <c r="AR351" t="s">
        <v>5781</v>
      </c>
      <c r="AS351" t="s">
        <v>5782</v>
      </c>
      <c r="AT351" t="s">
        <v>5770</v>
      </c>
      <c r="AU351">
        <v>2005</v>
      </c>
      <c r="AV351">
        <v>17</v>
      </c>
      <c r="AW351">
        <v>4</v>
      </c>
      <c r="AX351" t="s">
        <v>74</v>
      </c>
      <c r="AY351" t="s">
        <v>74</v>
      </c>
      <c r="AZ351" t="s">
        <v>74</v>
      </c>
      <c r="BA351" t="s">
        <v>74</v>
      </c>
      <c r="BB351">
        <v>541</v>
      </c>
      <c r="BC351">
        <v>553</v>
      </c>
      <c r="BD351" t="s">
        <v>74</v>
      </c>
      <c r="BE351" t="s">
        <v>5865</v>
      </c>
      <c r="BF351" t="str">
        <f>HYPERLINK("http://dx.doi.org/10.1017/S0954102005002968","http://dx.doi.org/10.1017/S0954102005002968")</f>
        <v>http://dx.doi.org/10.1017/S0954102005002968</v>
      </c>
      <c r="BG351" t="s">
        <v>74</v>
      </c>
      <c r="BH351" t="s">
        <v>74</v>
      </c>
      <c r="BI351">
        <v>13</v>
      </c>
      <c r="BJ351" t="s">
        <v>5784</v>
      </c>
      <c r="BK351" t="s">
        <v>1411</v>
      </c>
      <c r="BL351" t="s">
        <v>5785</v>
      </c>
      <c r="BM351" t="s">
        <v>5786</v>
      </c>
      <c r="BN351" t="s">
        <v>74</v>
      </c>
      <c r="BO351" t="s">
        <v>74</v>
      </c>
      <c r="BP351" t="s">
        <v>74</v>
      </c>
      <c r="BQ351" t="s">
        <v>74</v>
      </c>
      <c r="BR351" t="s">
        <v>101</v>
      </c>
      <c r="BS351" t="s">
        <v>5866</v>
      </c>
      <c r="BT351" t="str">
        <f>HYPERLINK("https%3A%2F%2Fwww.webofscience.com%2Fwos%2Fwoscc%2Ffull-record%2FWOS:000233727800008","View Full Record in Web of Science")</f>
        <v>View Full Record in Web of Science</v>
      </c>
    </row>
    <row r="352" spans="1:72" x14ac:dyDescent="0.15">
      <c r="A352" t="s">
        <v>72</v>
      </c>
      <c r="B352" t="s">
        <v>5867</v>
      </c>
      <c r="C352" t="s">
        <v>74</v>
      </c>
      <c r="D352" t="s">
        <v>74</v>
      </c>
      <c r="E352" t="s">
        <v>74</v>
      </c>
      <c r="F352" t="s">
        <v>5867</v>
      </c>
      <c r="G352" t="s">
        <v>74</v>
      </c>
      <c r="H352" t="s">
        <v>74</v>
      </c>
      <c r="I352" t="s">
        <v>5868</v>
      </c>
      <c r="J352" t="s">
        <v>5776</v>
      </c>
      <c r="K352" t="s">
        <v>74</v>
      </c>
      <c r="L352" t="s">
        <v>74</v>
      </c>
      <c r="M352" t="s">
        <v>77</v>
      </c>
      <c r="N352" t="s">
        <v>335</v>
      </c>
      <c r="O352" t="s">
        <v>5797</v>
      </c>
      <c r="P352" t="s">
        <v>5798</v>
      </c>
      <c r="Q352" t="s">
        <v>5799</v>
      </c>
      <c r="R352" t="s">
        <v>74</v>
      </c>
      <c r="S352" t="s">
        <v>74</v>
      </c>
      <c r="T352" t="s">
        <v>5869</v>
      </c>
      <c r="U352" t="s">
        <v>5870</v>
      </c>
      <c r="V352" t="s">
        <v>5871</v>
      </c>
      <c r="W352" t="s">
        <v>5872</v>
      </c>
      <c r="X352" t="s">
        <v>1738</v>
      </c>
      <c r="Y352" t="s">
        <v>5873</v>
      </c>
      <c r="Z352" t="s">
        <v>1771</v>
      </c>
      <c r="AA352" t="s">
        <v>74</v>
      </c>
      <c r="AB352" t="s">
        <v>74</v>
      </c>
      <c r="AC352" t="s">
        <v>74</v>
      </c>
      <c r="AD352" t="s">
        <v>74</v>
      </c>
      <c r="AE352" t="s">
        <v>74</v>
      </c>
      <c r="AF352" t="s">
        <v>74</v>
      </c>
      <c r="AG352">
        <v>44</v>
      </c>
      <c r="AH352">
        <v>25</v>
      </c>
      <c r="AI352">
        <v>28</v>
      </c>
      <c r="AJ352">
        <v>0</v>
      </c>
      <c r="AK352">
        <v>4</v>
      </c>
      <c r="AL352" t="s">
        <v>2239</v>
      </c>
      <c r="AM352" t="s">
        <v>89</v>
      </c>
      <c r="AN352" t="s">
        <v>4047</v>
      </c>
      <c r="AO352" t="s">
        <v>5780</v>
      </c>
      <c r="AP352" t="s">
        <v>5806</v>
      </c>
      <c r="AQ352" t="s">
        <v>74</v>
      </c>
      <c r="AR352" t="s">
        <v>5781</v>
      </c>
      <c r="AS352" t="s">
        <v>5782</v>
      </c>
      <c r="AT352" t="s">
        <v>5770</v>
      </c>
      <c r="AU352">
        <v>2005</v>
      </c>
      <c r="AV352">
        <v>17</v>
      </c>
      <c r="AW352">
        <v>4</v>
      </c>
      <c r="AX352" t="s">
        <v>74</v>
      </c>
      <c r="AY352" t="s">
        <v>74</v>
      </c>
      <c r="AZ352" t="s">
        <v>74</v>
      </c>
      <c r="BA352" t="s">
        <v>74</v>
      </c>
      <c r="BB352">
        <v>555</v>
      </c>
      <c r="BC352">
        <v>560</v>
      </c>
      <c r="BD352" t="s">
        <v>74</v>
      </c>
      <c r="BE352" t="s">
        <v>5874</v>
      </c>
      <c r="BF352" t="str">
        <f>HYPERLINK("http://dx.doi.org/10.1017/S095410200500297X","http://dx.doi.org/10.1017/S095410200500297X")</f>
        <v>http://dx.doi.org/10.1017/S095410200500297X</v>
      </c>
      <c r="BG352" t="s">
        <v>74</v>
      </c>
      <c r="BH352" t="s">
        <v>74</v>
      </c>
      <c r="BI352">
        <v>6</v>
      </c>
      <c r="BJ352" t="s">
        <v>5784</v>
      </c>
      <c r="BK352" t="s">
        <v>1411</v>
      </c>
      <c r="BL352" t="s">
        <v>5785</v>
      </c>
      <c r="BM352" t="s">
        <v>5786</v>
      </c>
      <c r="BN352" t="s">
        <v>74</v>
      </c>
      <c r="BO352" t="s">
        <v>534</v>
      </c>
      <c r="BP352" t="s">
        <v>74</v>
      </c>
      <c r="BQ352" t="s">
        <v>74</v>
      </c>
      <c r="BR352" t="s">
        <v>101</v>
      </c>
      <c r="BS352" t="s">
        <v>5875</v>
      </c>
      <c r="BT352" t="str">
        <f>HYPERLINK("https%3A%2F%2Fwww.webofscience.com%2Fwos%2Fwoscc%2Ffull-record%2FWOS:000233727800009","View Full Record in Web of Science")</f>
        <v>View Full Record in Web of Science</v>
      </c>
    </row>
    <row r="353" spans="1:72" x14ac:dyDescent="0.15">
      <c r="A353" t="s">
        <v>72</v>
      </c>
      <c r="B353" t="s">
        <v>5876</v>
      </c>
      <c r="C353" t="s">
        <v>74</v>
      </c>
      <c r="D353" t="s">
        <v>74</v>
      </c>
      <c r="E353" t="s">
        <v>74</v>
      </c>
      <c r="F353" t="s">
        <v>5876</v>
      </c>
      <c r="G353" t="s">
        <v>74</v>
      </c>
      <c r="H353" t="s">
        <v>5877</v>
      </c>
      <c r="I353" t="s">
        <v>5878</v>
      </c>
      <c r="J353" t="s">
        <v>5776</v>
      </c>
      <c r="K353" t="s">
        <v>74</v>
      </c>
      <c r="L353" t="s">
        <v>74</v>
      </c>
      <c r="M353" t="s">
        <v>77</v>
      </c>
      <c r="N353" t="s">
        <v>335</v>
      </c>
      <c r="O353" t="s">
        <v>5797</v>
      </c>
      <c r="P353" t="s">
        <v>5798</v>
      </c>
      <c r="Q353" t="s">
        <v>5799</v>
      </c>
      <c r="R353" t="s">
        <v>74</v>
      </c>
      <c r="S353" t="s">
        <v>74</v>
      </c>
      <c r="T353" t="s">
        <v>5879</v>
      </c>
      <c r="U353" t="s">
        <v>74</v>
      </c>
      <c r="V353" t="s">
        <v>5880</v>
      </c>
      <c r="W353" t="s">
        <v>801</v>
      </c>
      <c r="X353" t="s">
        <v>788</v>
      </c>
      <c r="Y353" t="s">
        <v>5881</v>
      </c>
      <c r="Z353" t="s">
        <v>5882</v>
      </c>
      <c r="AA353" t="s">
        <v>74</v>
      </c>
      <c r="AB353" t="s">
        <v>74</v>
      </c>
      <c r="AC353" t="s">
        <v>74</v>
      </c>
      <c r="AD353" t="s">
        <v>74</v>
      </c>
      <c r="AE353" t="s">
        <v>74</v>
      </c>
      <c r="AF353" t="s">
        <v>74</v>
      </c>
      <c r="AG353">
        <v>1</v>
      </c>
      <c r="AH353">
        <v>1</v>
      </c>
      <c r="AI353">
        <v>2</v>
      </c>
      <c r="AJ353">
        <v>0</v>
      </c>
      <c r="AK353">
        <v>7</v>
      </c>
      <c r="AL353" t="s">
        <v>2239</v>
      </c>
      <c r="AM353" t="s">
        <v>89</v>
      </c>
      <c r="AN353" t="s">
        <v>5779</v>
      </c>
      <c r="AO353" t="s">
        <v>5780</v>
      </c>
      <c r="AP353" t="s">
        <v>74</v>
      </c>
      <c r="AQ353" t="s">
        <v>74</v>
      </c>
      <c r="AR353" t="s">
        <v>5781</v>
      </c>
      <c r="AS353" t="s">
        <v>5782</v>
      </c>
      <c r="AT353" t="s">
        <v>5770</v>
      </c>
      <c r="AU353">
        <v>2005</v>
      </c>
      <c r="AV353">
        <v>17</v>
      </c>
      <c r="AW353">
        <v>4</v>
      </c>
      <c r="AX353" t="s">
        <v>74</v>
      </c>
      <c r="AY353" t="s">
        <v>74</v>
      </c>
      <c r="AZ353" t="s">
        <v>74</v>
      </c>
      <c r="BA353" t="s">
        <v>74</v>
      </c>
      <c r="BB353">
        <v>561</v>
      </c>
      <c r="BC353">
        <v>568</v>
      </c>
      <c r="BD353" t="s">
        <v>74</v>
      </c>
      <c r="BE353" t="s">
        <v>5883</v>
      </c>
      <c r="BF353" t="str">
        <f>HYPERLINK("http://dx.doi.org/10.1017/S0954102005002981","http://dx.doi.org/10.1017/S0954102005002981")</f>
        <v>http://dx.doi.org/10.1017/S0954102005002981</v>
      </c>
      <c r="BG353" t="s">
        <v>74</v>
      </c>
      <c r="BH353" t="s">
        <v>74</v>
      </c>
      <c r="BI353">
        <v>8</v>
      </c>
      <c r="BJ353" t="s">
        <v>5784</v>
      </c>
      <c r="BK353" t="s">
        <v>356</v>
      </c>
      <c r="BL353" t="s">
        <v>5785</v>
      </c>
      <c r="BM353" t="s">
        <v>5786</v>
      </c>
      <c r="BN353" t="s">
        <v>74</v>
      </c>
      <c r="BO353" t="s">
        <v>74</v>
      </c>
      <c r="BP353" t="s">
        <v>74</v>
      </c>
      <c r="BQ353" t="s">
        <v>74</v>
      </c>
      <c r="BR353" t="s">
        <v>101</v>
      </c>
      <c r="BS353" t="s">
        <v>5884</v>
      </c>
      <c r="BT353" t="str">
        <f>HYPERLINK("https%3A%2F%2Fwww.webofscience.com%2Fwos%2Fwoscc%2Ffull-record%2FWOS:000233727800010","View Full Record in Web of Science")</f>
        <v>View Full Record in Web of Science</v>
      </c>
    </row>
    <row r="354" spans="1:72" x14ac:dyDescent="0.15">
      <c r="A354" t="s">
        <v>72</v>
      </c>
      <c r="B354" t="s">
        <v>5885</v>
      </c>
      <c r="C354" t="s">
        <v>74</v>
      </c>
      <c r="D354" t="s">
        <v>74</v>
      </c>
      <c r="E354" t="s">
        <v>74</v>
      </c>
      <c r="F354" t="s">
        <v>5885</v>
      </c>
      <c r="G354" t="s">
        <v>74</v>
      </c>
      <c r="H354" t="s">
        <v>74</v>
      </c>
      <c r="I354" t="s">
        <v>5886</v>
      </c>
      <c r="J354" t="s">
        <v>5887</v>
      </c>
      <c r="K354" t="s">
        <v>74</v>
      </c>
      <c r="L354" t="s">
        <v>74</v>
      </c>
      <c r="M354" t="s">
        <v>77</v>
      </c>
      <c r="N354" t="s">
        <v>78</v>
      </c>
      <c r="O354" t="s">
        <v>74</v>
      </c>
      <c r="P354" t="s">
        <v>74</v>
      </c>
      <c r="Q354" t="s">
        <v>74</v>
      </c>
      <c r="R354" t="s">
        <v>74</v>
      </c>
      <c r="S354" t="s">
        <v>74</v>
      </c>
      <c r="T354" t="s">
        <v>74</v>
      </c>
      <c r="U354" t="s">
        <v>5888</v>
      </c>
      <c r="V354" t="s">
        <v>5889</v>
      </c>
      <c r="W354" t="s">
        <v>5890</v>
      </c>
      <c r="X354" t="s">
        <v>5891</v>
      </c>
      <c r="Y354" t="s">
        <v>5892</v>
      </c>
      <c r="Z354" t="s">
        <v>5893</v>
      </c>
      <c r="AA354" t="s">
        <v>5894</v>
      </c>
      <c r="AB354" t="s">
        <v>5895</v>
      </c>
      <c r="AC354" t="s">
        <v>74</v>
      </c>
      <c r="AD354" t="s">
        <v>74</v>
      </c>
      <c r="AE354" t="s">
        <v>74</v>
      </c>
      <c r="AF354" t="s">
        <v>74</v>
      </c>
      <c r="AG354">
        <v>45</v>
      </c>
      <c r="AH354">
        <v>5809</v>
      </c>
      <c r="AI354">
        <v>6694</v>
      </c>
      <c r="AJ354">
        <v>14</v>
      </c>
      <c r="AK354">
        <v>664</v>
      </c>
      <c r="AL354" t="s">
        <v>2540</v>
      </c>
      <c r="AM354" t="s">
        <v>2541</v>
      </c>
      <c r="AN354" t="s">
        <v>5896</v>
      </c>
      <c r="AO354" t="s">
        <v>5897</v>
      </c>
      <c r="AP354" t="s">
        <v>5898</v>
      </c>
      <c r="AQ354" t="s">
        <v>74</v>
      </c>
      <c r="AR354" t="s">
        <v>5899</v>
      </c>
      <c r="AS354" t="s">
        <v>5900</v>
      </c>
      <c r="AT354" t="s">
        <v>5770</v>
      </c>
      <c r="AU354">
        <v>2005</v>
      </c>
      <c r="AV354">
        <v>71</v>
      </c>
      <c r="AW354">
        <v>12</v>
      </c>
      <c r="AX354" t="s">
        <v>74</v>
      </c>
      <c r="AY354" t="s">
        <v>74</v>
      </c>
      <c r="AZ354" t="s">
        <v>74</v>
      </c>
      <c r="BA354" t="s">
        <v>74</v>
      </c>
      <c r="BB354">
        <v>8228</v>
      </c>
      <c r="BC354">
        <v>8235</v>
      </c>
      <c r="BD354" t="s">
        <v>74</v>
      </c>
      <c r="BE354" t="s">
        <v>5901</v>
      </c>
      <c r="BF354" t="str">
        <f>HYPERLINK("http://dx.doi.org/10.1128/AEM.71.12.8228-8235.2005","http://dx.doi.org/10.1128/AEM.71.12.8228-8235.2005")</f>
        <v>http://dx.doi.org/10.1128/AEM.71.12.8228-8235.2005</v>
      </c>
      <c r="BG354" t="s">
        <v>74</v>
      </c>
      <c r="BH354" t="s">
        <v>74</v>
      </c>
      <c r="BI354">
        <v>8</v>
      </c>
      <c r="BJ354" t="s">
        <v>5902</v>
      </c>
      <c r="BK354" t="s">
        <v>98</v>
      </c>
      <c r="BL354" t="s">
        <v>5902</v>
      </c>
      <c r="BM354" t="s">
        <v>5903</v>
      </c>
      <c r="BN354">
        <v>16332807</v>
      </c>
      <c r="BO354" t="s">
        <v>722</v>
      </c>
      <c r="BP354" t="s">
        <v>74</v>
      </c>
      <c r="BQ354" t="s">
        <v>74</v>
      </c>
      <c r="BR354" t="s">
        <v>101</v>
      </c>
      <c r="BS354" t="s">
        <v>5904</v>
      </c>
      <c r="BT354" t="str">
        <f>HYPERLINK("https%3A%2F%2Fwww.webofscience.com%2Fwos%2Fwoscc%2Ffull-record%2FWOS:000234417600073","View Full Record in Web of Science")</f>
        <v>View Full Record in Web of Science</v>
      </c>
    </row>
    <row r="355" spans="1:72" x14ac:dyDescent="0.15">
      <c r="A355" t="s">
        <v>72</v>
      </c>
      <c r="B355" t="s">
        <v>5905</v>
      </c>
      <c r="C355" t="s">
        <v>74</v>
      </c>
      <c r="D355" t="s">
        <v>74</v>
      </c>
      <c r="E355" t="s">
        <v>74</v>
      </c>
      <c r="F355" t="s">
        <v>5905</v>
      </c>
      <c r="G355" t="s">
        <v>74</v>
      </c>
      <c r="H355" t="s">
        <v>74</v>
      </c>
      <c r="I355" t="s">
        <v>5906</v>
      </c>
      <c r="J355" t="s">
        <v>5907</v>
      </c>
      <c r="K355" t="s">
        <v>74</v>
      </c>
      <c r="L355" t="s">
        <v>74</v>
      </c>
      <c r="M355" t="s">
        <v>77</v>
      </c>
      <c r="N355" t="s">
        <v>78</v>
      </c>
      <c r="O355" t="s">
        <v>74</v>
      </c>
      <c r="P355" t="s">
        <v>74</v>
      </c>
      <c r="Q355" t="s">
        <v>74</v>
      </c>
      <c r="R355" t="s">
        <v>74</v>
      </c>
      <c r="S355" t="s">
        <v>74</v>
      </c>
      <c r="T355" t="s">
        <v>74</v>
      </c>
      <c r="U355" t="s">
        <v>74</v>
      </c>
      <c r="V355" t="s">
        <v>5908</v>
      </c>
      <c r="W355" t="s">
        <v>5909</v>
      </c>
      <c r="X355" t="s">
        <v>5910</v>
      </c>
      <c r="Y355" t="s">
        <v>5911</v>
      </c>
      <c r="Z355" t="s">
        <v>74</v>
      </c>
      <c r="AA355" t="s">
        <v>74</v>
      </c>
      <c r="AB355" t="s">
        <v>74</v>
      </c>
      <c r="AC355" t="s">
        <v>74</v>
      </c>
      <c r="AD355" t="s">
        <v>74</v>
      </c>
      <c r="AE355" t="s">
        <v>74</v>
      </c>
      <c r="AF355" t="s">
        <v>74</v>
      </c>
      <c r="AG355">
        <v>6</v>
      </c>
      <c r="AH355">
        <v>0</v>
      </c>
      <c r="AI355">
        <v>0</v>
      </c>
      <c r="AJ355">
        <v>0</v>
      </c>
      <c r="AK355">
        <v>1</v>
      </c>
      <c r="AL355" t="s">
        <v>1873</v>
      </c>
      <c r="AM355" t="s">
        <v>140</v>
      </c>
      <c r="AN355" t="s">
        <v>1874</v>
      </c>
      <c r="AO355" t="s">
        <v>5912</v>
      </c>
      <c r="AP355" t="s">
        <v>74</v>
      </c>
      <c r="AQ355" t="s">
        <v>74</v>
      </c>
      <c r="AR355" t="s">
        <v>5913</v>
      </c>
      <c r="AS355" t="s">
        <v>5914</v>
      </c>
      <c r="AT355" t="s">
        <v>5770</v>
      </c>
      <c r="AU355">
        <v>2005</v>
      </c>
      <c r="AV355">
        <v>46</v>
      </c>
      <c r="AW355">
        <v>6</v>
      </c>
      <c r="AX355" t="s">
        <v>74</v>
      </c>
      <c r="AY355" t="s">
        <v>74</v>
      </c>
      <c r="AZ355" t="s">
        <v>74</v>
      </c>
      <c r="BA355" t="s">
        <v>74</v>
      </c>
      <c r="BB355">
        <v>35</v>
      </c>
      <c r="BC355">
        <v>36</v>
      </c>
      <c r="BD355" t="s">
        <v>74</v>
      </c>
      <c r="BE355" t="s">
        <v>5915</v>
      </c>
      <c r="BF355" t="str">
        <f>HYPERLINK("http://dx.doi.org/10.1111/j.1468-4004.2005.46635.x","http://dx.doi.org/10.1111/j.1468-4004.2005.46635.x")</f>
        <v>http://dx.doi.org/10.1111/j.1468-4004.2005.46635.x</v>
      </c>
      <c r="BG355" t="s">
        <v>74</v>
      </c>
      <c r="BH355" t="s">
        <v>74</v>
      </c>
      <c r="BI355">
        <v>2</v>
      </c>
      <c r="BJ355" t="s">
        <v>5916</v>
      </c>
      <c r="BK355" t="s">
        <v>98</v>
      </c>
      <c r="BL355" t="s">
        <v>5916</v>
      </c>
      <c r="BM355" t="s">
        <v>5917</v>
      </c>
      <c r="BN355" t="s">
        <v>74</v>
      </c>
      <c r="BO355" t="s">
        <v>1900</v>
      </c>
      <c r="BP355" t="s">
        <v>74</v>
      </c>
      <c r="BQ355" t="s">
        <v>74</v>
      </c>
      <c r="BR355" t="s">
        <v>101</v>
      </c>
      <c r="BS355" t="s">
        <v>5918</v>
      </c>
      <c r="BT355" t="str">
        <f>HYPERLINK("https%3A%2F%2Fwww.webofscience.com%2Fwos%2Fwoscc%2Ffull-record%2FWOS:000233627700023","View Full Record in Web of Science")</f>
        <v>View Full Record in Web of Science</v>
      </c>
    </row>
    <row r="356" spans="1:72" x14ac:dyDescent="0.15">
      <c r="A356" t="s">
        <v>72</v>
      </c>
      <c r="B356" t="s">
        <v>5919</v>
      </c>
      <c r="C356" t="s">
        <v>74</v>
      </c>
      <c r="D356" t="s">
        <v>74</v>
      </c>
      <c r="E356" t="s">
        <v>74</v>
      </c>
      <c r="F356" t="s">
        <v>5919</v>
      </c>
      <c r="G356" t="s">
        <v>74</v>
      </c>
      <c r="H356" t="s">
        <v>74</v>
      </c>
      <c r="I356" t="s">
        <v>5920</v>
      </c>
      <c r="J356" t="s">
        <v>5921</v>
      </c>
      <c r="K356" t="s">
        <v>74</v>
      </c>
      <c r="L356" t="s">
        <v>74</v>
      </c>
      <c r="M356" t="s">
        <v>77</v>
      </c>
      <c r="N356" t="s">
        <v>78</v>
      </c>
      <c r="O356" t="s">
        <v>74</v>
      </c>
      <c r="P356" t="s">
        <v>74</v>
      </c>
      <c r="Q356" t="s">
        <v>74</v>
      </c>
      <c r="R356" t="s">
        <v>74</v>
      </c>
      <c r="S356" t="s">
        <v>74</v>
      </c>
      <c r="T356" t="s">
        <v>74</v>
      </c>
      <c r="U356" t="s">
        <v>5922</v>
      </c>
      <c r="V356" t="s">
        <v>5923</v>
      </c>
      <c r="W356" t="s">
        <v>5924</v>
      </c>
      <c r="X356" t="s">
        <v>5925</v>
      </c>
      <c r="Y356" t="s">
        <v>5926</v>
      </c>
      <c r="Z356" t="s">
        <v>5927</v>
      </c>
      <c r="AA356" t="s">
        <v>74</v>
      </c>
      <c r="AB356" t="s">
        <v>74</v>
      </c>
      <c r="AC356" t="s">
        <v>74</v>
      </c>
      <c r="AD356" t="s">
        <v>74</v>
      </c>
      <c r="AE356" t="s">
        <v>74</v>
      </c>
      <c r="AF356" t="s">
        <v>74</v>
      </c>
      <c r="AG356">
        <v>39</v>
      </c>
      <c r="AH356">
        <v>14</v>
      </c>
      <c r="AI356">
        <v>18</v>
      </c>
      <c r="AJ356">
        <v>2</v>
      </c>
      <c r="AK356">
        <v>10</v>
      </c>
      <c r="AL356" t="s">
        <v>5928</v>
      </c>
      <c r="AM356" t="s">
        <v>2026</v>
      </c>
      <c r="AN356" t="s">
        <v>2027</v>
      </c>
      <c r="AO356" t="s">
        <v>5929</v>
      </c>
      <c r="AP356" t="s">
        <v>74</v>
      </c>
      <c r="AQ356" t="s">
        <v>74</v>
      </c>
      <c r="AR356" t="s">
        <v>5930</v>
      </c>
      <c r="AS356" t="s">
        <v>5931</v>
      </c>
      <c r="AT356" t="s">
        <v>5770</v>
      </c>
      <c r="AU356">
        <v>2005</v>
      </c>
      <c r="AV356">
        <v>57</v>
      </c>
      <c r="AW356">
        <v>3</v>
      </c>
      <c r="AX356" t="s">
        <v>74</v>
      </c>
      <c r="AY356" t="s">
        <v>74</v>
      </c>
      <c r="AZ356" t="s">
        <v>74</v>
      </c>
      <c r="BA356" t="s">
        <v>74</v>
      </c>
      <c r="BB356">
        <v>161</v>
      </c>
      <c r="BC356">
        <v>169</v>
      </c>
      <c r="BD356" t="s">
        <v>74</v>
      </c>
      <c r="BE356" t="s">
        <v>5932</v>
      </c>
      <c r="BF356" t="str">
        <f>HYPERLINK("http://dx.doi.org/10.1080/00049530500125165","http://dx.doi.org/10.1080/00049530500125165")</f>
        <v>http://dx.doi.org/10.1080/00049530500125165</v>
      </c>
      <c r="BG356" t="s">
        <v>74</v>
      </c>
      <c r="BH356" t="s">
        <v>74</v>
      </c>
      <c r="BI356">
        <v>9</v>
      </c>
      <c r="BJ356" t="s">
        <v>5933</v>
      </c>
      <c r="BK356" t="s">
        <v>5934</v>
      </c>
      <c r="BL356" t="s">
        <v>5935</v>
      </c>
      <c r="BM356" t="s">
        <v>5936</v>
      </c>
      <c r="BN356" t="s">
        <v>74</v>
      </c>
      <c r="BO356" t="s">
        <v>74</v>
      </c>
      <c r="BP356" t="s">
        <v>74</v>
      </c>
      <c r="BQ356" t="s">
        <v>74</v>
      </c>
      <c r="BR356" t="s">
        <v>101</v>
      </c>
      <c r="BS356" t="s">
        <v>5937</v>
      </c>
      <c r="BT356" t="str">
        <f>HYPERLINK("https%3A%2F%2Fwww.webofscience.com%2Fwos%2Fwoscc%2Ffull-record%2FWOS:000234493200003","View Full Record in Web of Science")</f>
        <v>View Full Record in Web of Science</v>
      </c>
    </row>
    <row r="357" spans="1:72" x14ac:dyDescent="0.15">
      <c r="A357" t="s">
        <v>72</v>
      </c>
      <c r="B357" t="s">
        <v>5938</v>
      </c>
      <c r="C357" t="s">
        <v>74</v>
      </c>
      <c r="D357" t="s">
        <v>74</v>
      </c>
      <c r="E357" t="s">
        <v>74</v>
      </c>
      <c r="F357" t="s">
        <v>5938</v>
      </c>
      <c r="G357" t="s">
        <v>74</v>
      </c>
      <c r="H357" t="s">
        <v>74</v>
      </c>
      <c r="I357" t="s">
        <v>5939</v>
      </c>
      <c r="J357" t="s">
        <v>129</v>
      </c>
      <c r="K357" t="s">
        <v>74</v>
      </c>
      <c r="L357" t="s">
        <v>74</v>
      </c>
      <c r="M357" t="s">
        <v>77</v>
      </c>
      <c r="N357" t="s">
        <v>78</v>
      </c>
      <c r="O357" t="s">
        <v>74</v>
      </c>
      <c r="P357" t="s">
        <v>74</v>
      </c>
      <c r="Q357" t="s">
        <v>74</v>
      </c>
      <c r="R357" t="s">
        <v>74</v>
      </c>
      <c r="S357" t="s">
        <v>74</v>
      </c>
      <c r="T357" t="s">
        <v>5940</v>
      </c>
      <c r="U357" t="s">
        <v>5941</v>
      </c>
      <c r="V357" t="s">
        <v>5942</v>
      </c>
      <c r="W357" t="s">
        <v>5943</v>
      </c>
      <c r="X357" t="s">
        <v>274</v>
      </c>
      <c r="Y357" t="s">
        <v>5944</v>
      </c>
      <c r="Z357" t="s">
        <v>1167</v>
      </c>
      <c r="AA357" t="s">
        <v>264</v>
      </c>
      <c r="AB357" t="s">
        <v>5945</v>
      </c>
      <c r="AC357" t="s">
        <v>74</v>
      </c>
      <c r="AD357" t="s">
        <v>74</v>
      </c>
      <c r="AE357" t="s">
        <v>74</v>
      </c>
      <c r="AF357" t="s">
        <v>74</v>
      </c>
      <c r="AG357">
        <v>34</v>
      </c>
      <c r="AH357">
        <v>67</v>
      </c>
      <c r="AI357">
        <v>78</v>
      </c>
      <c r="AJ357">
        <v>0</v>
      </c>
      <c r="AK357">
        <v>12</v>
      </c>
      <c r="AL357" t="s">
        <v>139</v>
      </c>
      <c r="AM357" t="s">
        <v>140</v>
      </c>
      <c r="AN357" t="s">
        <v>141</v>
      </c>
      <c r="AO357" t="s">
        <v>142</v>
      </c>
      <c r="AP357" t="s">
        <v>74</v>
      </c>
      <c r="AQ357" t="s">
        <v>74</v>
      </c>
      <c r="AR357" t="s">
        <v>143</v>
      </c>
      <c r="AS357" t="s">
        <v>144</v>
      </c>
      <c r="AT357" t="s">
        <v>5770</v>
      </c>
      <c r="AU357">
        <v>2005</v>
      </c>
      <c r="AV357">
        <v>126</v>
      </c>
      <c r="AW357">
        <v>3</v>
      </c>
      <c r="AX357" t="s">
        <v>74</v>
      </c>
      <c r="AY357" t="s">
        <v>74</v>
      </c>
      <c r="AZ357" t="s">
        <v>74</v>
      </c>
      <c r="BA357" t="s">
        <v>74</v>
      </c>
      <c r="BB357">
        <v>306</v>
      </c>
      <c r="BC357">
        <v>316</v>
      </c>
      <c r="BD357" t="s">
        <v>74</v>
      </c>
      <c r="BE357" t="s">
        <v>5946</v>
      </c>
      <c r="BF357" t="str">
        <f>HYPERLINK("http://dx.doi.org/10.1016/j.biocon.2005.06.001","http://dx.doi.org/10.1016/j.biocon.2005.06.001")</f>
        <v>http://dx.doi.org/10.1016/j.biocon.2005.06.001</v>
      </c>
      <c r="BG357" t="s">
        <v>74</v>
      </c>
      <c r="BH357" t="s">
        <v>74</v>
      </c>
      <c r="BI357">
        <v>11</v>
      </c>
      <c r="BJ357" t="s">
        <v>146</v>
      </c>
      <c r="BK357" t="s">
        <v>98</v>
      </c>
      <c r="BL357" t="s">
        <v>147</v>
      </c>
      <c r="BM357" t="s">
        <v>5947</v>
      </c>
      <c r="BN357" t="s">
        <v>74</v>
      </c>
      <c r="BO357" t="s">
        <v>74</v>
      </c>
      <c r="BP357" t="s">
        <v>74</v>
      </c>
      <c r="BQ357" t="s">
        <v>74</v>
      </c>
      <c r="BR357" t="s">
        <v>101</v>
      </c>
      <c r="BS357" t="s">
        <v>5948</v>
      </c>
      <c r="BT357" t="str">
        <f>HYPERLINK("https%3A%2F%2Fwww.webofscience.com%2Fwos%2Fwoscc%2Ffull-record%2FWOS:000232993900002","View Full Record in Web of Science")</f>
        <v>View Full Record in Web of Science</v>
      </c>
    </row>
    <row r="358" spans="1:72" x14ac:dyDescent="0.15">
      <c r="A358" t="s">
        <v>72</v>
      </c>
      <c r="B358" t="s">
        <v>5949</v>
      </c>
      <c r="C358" t="s">
        <v>74</v>
      </c>
      <c r="D358" t="s">
        <v>74</v>
      </c>
      <c r="E358" t="s">
        <v>74</v>
      </c>
      <c r="F358" t="s">
        <v>5949</v>
      </c>
      <c r="G358" t="s">
        <v>74</v>
      </c>
      <c r="H358" t="s">
        <v>74</v>
      </c>
      <c r="I358" t="s">
        <v>5950</v>
      </c>
      <c r="J358" t="s">
        <v>129</v>
      </c>
      <c r="K358" t="s">
        <v>74</v>
      </c>
      <c r="L358" t="s">
        <v>74</v>
      </c>
      <c r="M358" t="s">
        <v>77</v>
      </c>
      <c r="N358" t="s">
        <v>78</v>
      </c>
      <c r="O358" t="s">
        <v>74</v>
      </c>
      <c r="P358" t="s">
        <v>74</v>
      </c>
      <c r="Q358" t="s">
        <v>74</v>
      </c>
      <c r="R358" t="s">
        <v>74</v>
      </c>
      <c r="S358" t="s">
        <v>74</v>
      </c>
      <c r="T358" t="s">
        <v>5951</v>
      </c>
      <c r="U358" t="s">
        <v>5952</v>
      </c>
      <c r="V358" t="s">
        <v>5953</v>
      </c>
      <c r="W358" t="s">
        <v>5954</v>
      </c>
      <c r="X358" t="s">
        <v>2709</v>
      </c>
      <c r="Y358" t="s">
        <v>5955</v>
      </c>
      <c r="Z358" t="s">
        <v>5956</v>
      </c>
      <c r="AA358" t="s">
        <v>74</v>
      </c>
      <c r="AB358" t="s">
        <v>74</v>
      </c>
      <c r="AC358" t="s">
        <v>74</v>
      </c>
      <c r="AD358" t="s">
        <v>74</v>
      </c>
      <c r="AE358" t="s">
        <v>74</v>
      </c>
      <c r="AF358" t="s">
        <v>74</v>
      </c>
      <c r="AG358">
        <v>84</v>
      </c>
      <c r="AH358">
        <v>63</v>
      </c>
      <c r="AI358">
        <v>70</v>
      </c>
      <c r="AJ358">
        <v>1</v>
      </c>
      <c r="AK358">
        <v>37</v>
      </c>
      <c r="AL358" t="s">
        <v>139</v>
      </c>
      <c r="AM358" t="s">
        <v>140</v>
      </c>
      <c r="AN358" t="s">
        <v>141</v>
      </c>
      <c r="AO358" t="s">
        <v>142</v>
      </c>
      <c r="AP358" t="s">
        <v>5957</v>
      </c>
      <c r="AQ358" t="s">
        <v>74</v>
      </c>
      <c r="AR358" t="s">
        <v>143</v>
      </c>
      <c r="AS358" t="s">
        <v>144</v>
      </c>
      <c r="AT358" t="s">
        <v>5770</v>
      </c>
      <c r="AU358">
        <v>2005</v>
      </c>
      <c r="AV358">
        <v>126</v>
      </c>
      <c r="AW358">
        <v>3</v>
      </c>
      <c r="AX358" t="s">
        <v>74</v>
      </c>
      <c r="AY358" t="s">
        <v>74</v>
      </c>
      <c r="AZ358" t="s">
        <v>74</v>
      </c>
      <c r="BA358" t="s">
        <v>74</v>
      </c>
      <c r="BB358">
        <v>339</v>
      </c>
      <c r="BC358">
        <v>350</v>
      </c>
      <c r="BD358" t="s">
        <v>74</v>
      </c>
      <c r="BE358" t="s">
        <v>5958</v>
      </c>
      <c r="BF358" t="str">
        <f>HYPERLINK("http://dx.doi.org/10.1016/j.biocon.2005.06.009","http://dx.doi.org/10.1016/j.biocon.2005.06.009")</f>
        <v>http://dx.doi.org/10.1016/j.biocon.2005.06.009</v>
      </c>
      <c r="BG358" t="s">
        <v>74</v>
      </c>
      <c r="BH358" t="s">
        <v>74</v>
      </c>
      <c r="BI358">
        <v>12</v>
      </c>
      <c r="BJ358" t="s">
        <v>146</v>
      </c>
      <c r="BK358" t="s">
        <v>98</v>
      </c>
      <c r="BL358" t="s">
        <v>147</v>
      </c>
      <c r="BM358" t="s">
        <v>5947</v>
      </c>
      <c r="BN358" t="s">
        <v>74</v>
      </c>
      <c r="BO358" t="s">
        <v>5959</v>
      </c>
      <c r="BP358" t="s">
        <v>74</v>
      </c>
      <c r="BQ358" t="s">
        <v>74</v>
      </c>
      <c r="BR358" t="s">
        <v>101</v>
      </c>
      <c r="BS358" t="s">
        <v>5960</v>
      </c>
      <c r="BT358" t="str">
        <f>HYPERLINK("https%3A%2F%2Fwww.webofscience.com%2Fwos%2Fwoscc%2Ffull-record%2FWOS:000232993900005","View Full Record in Web of Science")</f>
        <v>View Full Record in Web of Science</v>
      </c>
    </row>
    <row r="359" spans="1:72" x14ac:dyDescent="0.15">
      <c r="A359" t="s">
        <v>72</v>
      </c>
      <c r="B359" t="s">
        <v>5961</v>
      </c>
      <c r="C359" t="s">
        <v>74</v>
      </c>
      <c r="D359" t="s">
        <v>74</v>
      </c>
      <c r="E359" t="s">
        <v>74</v>
      </c>
      <c r="F359" t="s">
        <v>5961</v>
      </c>
      <c r="G359" t="s">
        <v>74</v>
      </c>
      <c r="H359" t="s">
        <v>74</v>
      </c>
      <c r="I359" t="s">
        <v>5962</v>
      </c>
      <c r="J359" t="s">
        <v>5963</v>
      </c>
      <c r="K359" t="s">
        <v>74</v>
      </c>
      <c r="L359" t="s">
        <v>74</v>
      </c>
      <c r="M359" t="s">
        <v>77</v>
      </c>
      <c r="N359" t="s">
        <v>78</v>
      </c>
      <c r="O359" t="s">
        <v>74</v>
      </c>
      <c r="P359" t="s">
        <v>74</v>
      </c>
      <c r="Q359" t="s">
        <v>74</v>
      </c>
      <c r="R359" t="s">
        <v>74</v>
      </c>
      <c r="S359" t="s">
        <v>74</v>
      </c>
      <c r="T359" t="s">
        <v>74</v>
      </c>
      <c r="U359" t="s">
        <v>5964</v>
      </c>
      <c r="V359" t="s">
        <v>5965</v>
      </c>
      <c r="W359" t="s">
        <v>5966</v>
      </c>
      <c r="X359" t="s">
        <v>5967</v>
      </c>
      <c r="Y359" t="s">
        <v>5968</v>
      </c>
      <c r="Z359" t="s">
        <v>5969</v>
      </c>
      <c r="AA359" t="s">
        <v>74</v>
      </c>
      <c r="AB359" t="s">
        <v>74</v>
      </c>
      <c r="AC359" t="s">
        <v>74</v>
      </c>
      <c r="AD359" t="s">
        <v>74</v>
      </c>
      <c r="AE359" t="s">
        <v>74</v>
      </c>
      <c r="AF359" t="s">
        <v>74</v>
      </c>
      <c r="AG359">
        <v>57</v>
      </c>
      <c r="AH359">
        <v>50</v>
      </c>
      <c r="AI359">
        <v>63</v>
      </c>
      <c r="AJ359">
        <v>1</v>
      </c>
      <c r="AK359">
        <v>19</v>
      </c>
      <c r="AL359" t="s">
        <v>5970</v>
      </c>
      <c r="AM359" t="s">
        <v>5971</v>
      </c>
      <c r="AN359" t="s">
        <v>5972</v>
      </c>
      <c r="AO359" t="s">
        <v>5973</v>
      </c>
      <c r="AP359" t="s">
        <v>74</v>
      </c>
      <c r="AQ359" t="s">
        <v>74</v>
      </c>
      <c r="AR359" t="s">
        <v>5974</v>
      </c>
      <c r="AS359" t="s">
        <v>5975</v>
      </c>
      <c r="AT359" t="s">
        <v>5770</v>
      </c>
      <c r="AU359">
        <v>2005</v>
      </c>
      <c r="AV359">
        <v>62</v>
      </c>
      <c r="AW359">
        <v>12</v>
      </c>
      <c r="AX359" t="s">
        <v>74</v>
      </c>
      <c r="AY359" t="s">
        <v>74</v>
      </c>
      <c r="AZ359" t="s">
        <v>74</v>
      </c>
      <c r="BA359" t="s">
        <v>74</v>
      </c>
      <c r="BB359">
        <v>2832</v>
      </c>
      <c r="BC359">
        <v>2840</v>
      </c>
      <c r="BD359" t="s">
        <v>74</v>
      </c>
      <c r="BE359" t="s">
        <v>5976</v>
      </c>
      <c r="BF359" t="str">
        <f>HYPERLINK("http://dx.doi.org/10.1139/F05-191","http://dx.doi.org/10.1139/F05-191")</f>
        <v>http://dx.doi.org/10.1139/F05-191</v>
      </c>
      <c r="BG359" t="s">
        <v>74</v>
      </c>
      <c r="BH359" t="s">
        <v>74</v>
      </c>
      <c r="BI359">
        <v>9</v>
      </c>
      <c r="BJ359" t="s">
        <v>5977</v>
      </c>
      <c r="BK359" t="s">
        <v>98</v>
      </c>
      <c r="BL359" t="s">
        <v>5977</v>
      </c>
      <c r="BM359" t="s">
        <v>5978</v>
      </c>
      <c r="BN359" t="s">
        <v>74</v>
      </c>
      <c r="BO359" t="s">
        <v>74</v>
      </c>
      <c r="BP359" t="s">
        <v>74</v>
      </c>
      <c r="BQ359" t="s">
        <v>74</v>
      </c>
      <c r="BR359" t="s">
        <v>101</v>
      </c>
      <c r="BS359" t="s">
        <v>5979</v>
      </c>
      <c r="BT359" t="str">
        <f>HYPERLINK("https%3A%2F%2Fwww.webofscience.com%2Fwos%2Fwoscc%2Ffull-record%2FWOS:000233799100016","View Full Record in Web of Science")</f>
        <v>View Full Record in Web of Science</v>
      </c>
    </row>
    <row r="360" spans="1:72" x14ac:dyDescent="0.15">
      <c r="A360" t="s">
        <v>72</v>
      </c>
      <c r="B360" t="s">
        <v>5980</v>
      </c>
      <c r="C360" t="s">
        <v>74</v>
      </c>
      <c r="D360" t="s">
        <v>74</v>
      </c>
      <c r="E360" t="s">
        <v>74</v>
      </c>
      <c r="F360" t="s">
        <v>5980</v>
      </c>
      <c r="G360" t="s">
        <v>74</v>
      </c>
      <c r="H360" t="s">
        <v>74</v>
      </c>
      <c r="I360" t="s">
        <v>5981</v>
      </c>
      <c r="J360" t="s">
        <v>5982</v>
      </c>
      <c r="K360" t="s">
        <v>74</v>
      </c>
      <c r="L360" t="s">
        <v>74</v>
      </c>
      <c r="M360" t="s">
        <v>77</v>
      </c>
      <c r="N360" t="s">
        <v>78</v>
      </c>
      <c r="O360" t="s">
        <v>74</v>
      </c>
      <c r="P360" t="s">
        <v>74</v>
      </c>
      <c r="Q360" t="s">
        <v>74</v>
      </c>
      <c r="R360" t="s">
        <v>74</v>
      </c>
      <c r="S360" t="s">
        <v>74</v>
      </c>
      <c r="T360" t="s">
        <v>74</v>
      </c>
      <c r="U360" t="s">
        <v>5983</v>
      </c>
      <c r="V360" t="s">
        <v>5984</v>
      </c>
      <c r="W360" t="s">
        <v>5985</v>
      </c>
      <c r="X360" t="s">
        <v>5986</v>
      </c>
      <c r="Y360" t="s">
        <v>5987</v>
      </c>
      <c r="Z360" t="s">
        <v>5988</v>
      </c>
      <c r="AA360" t="s">
        <v>5989</v>
      </c>
      <c r="AB360" t="s">
        <v>5990</v>
      </c>
      <c r="AC360" t="s">
        <v>74</v>
      </c>
      <c r="AD360" t="s">
        <v>74</v>
      </c>
      <c r="AE360" t="s">
        <v>74</v>
      </c>
      <c r="AF360" t="s">
        <v>74</v>
      </c>
      <c r="AG360">
        <v>56</v>
      </c>
      <c r="AH360">
        <v>27</v>
      </c>
      <c r="AI360">
        <v>36</v>
      </c>
      <c r="AJ360">
        <v>0</v>
      </c>
      <c r="AK360">
        <v>30</v>
      </c>
      <c r="AL360" t="s">
        <v>5991</v>
      </c>
      <c r="AM360" t="s">
        <v>5971</v>
      </c>
      <c r="AN360" t="s">
        <v>5992</v>
      </c>
      <c r="AO360" t="s">
        <v>5993</v>
      </c>
      <c r="AP360" t="s">
        <v>74</v>
      </c>
      <c r="AQ360" t="s">
        <v>74</v>
      </c>
      <c r="AR360" t="s">
        <v>5994</v>
      </c>
      <c r="AS360" t="s">
        <v>5995</v>
      </c>
      <c r="AT360" t="s">
        <v>5770</v>
      </c>
      <c r="AU360">
        <v>2005</v>
      </c>
      <c r="AV360">
        <v>83</v>
      </c>
      <c r="AW360">
        <v>12</v>
      </c>
      <c r="AX360" t="s">
        <v>74</v>
      </c>
      <c r="AY360" t="s">
        <v>74</v>
      </c>
      <c r="AZ360" t="s">
        <v>74</v>
      </c>
      <c r="BA360" t="s">
        <v>74</v>
      </c>
      <c r="BB360">
        <v>1525</v>
      </c>
      <c r="BC360">
        <v>1531</v>
      </c>
      <c r="BD360" t="s">
        <v>74</v>
      </c>
      <c r="BE360" t="s">
        <v>5996</v>
      </c>
      <c r="BF360" t="str">
        <f>HYPERLINK("http://dx.doi.org/10.1139/Z05-149","http://dx.doi.org/10.1139/Z05-149")</f>
        <v>http://dx.doi.org/10.1139/Z05-149</v>
      </c>
      <c r="BG360" t="s">
        <v>74</v>
      </c>
      <c r="BH360" t="s">
        <v>74</v>
      </c>
      <c r="BI360">
        <v>7</v>
      </c>
      <c r="BJ360" t="s">
        <v>532</v>
      </c>
      <c r="BK360" t="s">
        <v>98</v>
      </c>
      <c r="BL360" t="s">
        <v>532</v>
      </c>
      <c r="BM360" t="s">
        <v>5997</v>
      </c>
      <c r="BN360" t="s">
        <v>74</v>
      </c>
      <c r="BO360" t="s">
        <v>74</v>
      </c>
      <c r="BP360" t="s">
        <v>74</v>
      </c>
      <c r="BQ360" t="s">
        <v>74</v>
      </c>
      <c r="BR360" t="s">
        <v>101</v>
      </c>
      <c r="BS360" t="s">
        <v>5998</v>
      </c>
      <c r="BT360" t="str">
        <f>HYPERLINK("https%3A%2F%2Fwww.webofscience.com%2Fwos%2Fwoscc%2Ffull-record%2FWOS:000234473800002","View Full Record in Web of Science")</f>
        <v>View Full Record in Web of Science</v>
      </c>
    </row>
    <row r="361" spans="1:72" x14ac:dyDescent="0.15">
      <c r="A361" t="s">
        <v>72</v>
      </c>
      <c r="B361" t="s">
        <v>5999</v>
      </c>
      <c r="C361" t="s">
        <v>74</v>
      </c>
      <c r="D361" t="s">
        <v>74</v>
      </c>
      <c r="E361" t="s">
        <v>74</v>
      </c>
      <c r="F361" t="s">
        <v>5999</v>
      </c>
      <c r="G361" t="s">
        <v>74</v>
      </c>
      <c r="H361" t="s">
        <v>74</v>
      </c>
      <c r="I361" t="s">
        <v>6000</v>
      </c>
      <c r="J361" t="s">
        <v>6001</v>
      </c>
      <c r="K361" t="s">
        <v>74</v>
      </c>
      <c r="L361" t="s">
        <v>74</v>
      </c>
      <c r="M361" t="s">
        <v>77</v>
      </c>
      <c r="N361" t="s">
        <v>78</v>
      </c>
      <c r="O361" t="s">
        <v>74</v>
      </c>
      <c r="P361" t="s">
        <v>74</v>
      </c>
      <c r="Q361" t="s">
        <v>74</v>
      </c>
      <c r="R361" t="s">
        <v>74</v>
      </c>
      <c r="S361" t="s">
        <v>74</v>
      </c>
      <c r="T361" t="s">
        <v>6002</v>
      </c>
      <c r="U361" t="s">
        <v>6003</v>
      </c>
      <c r="V361" t="s">
        <v>6004</v>
      </c>
      <c r="W361" t="s">
        <v>6005</v>
      </c>
      <c r="X361" t="s">
        <v>4745</v>
      </c>
      <c r="Y361" t="s">
        <v>6006</v>
      </c>
      <c r="Z361" t="s">
        <v>4747</v>
      </c>
      <c r="AA361" t="s">
        <v>6007</v>
      </c>
      <c r="AB361" t="s">
        <v>6008</v>
      </c>
      <c r="AC361" t="s">
        <v>74</v>
      </c>
      <c r="AD361" t="s">
        <v>74</v>
      </c>
      <c r="AE361" t="s">
        <v>74</v>
      </c>
      <c r="AF361" t="s">
        <v>74</v>
      </c>
      <c r="AG361">
        <v>23</v>
      </c>
      <c r="AH361">
        <v>19</v>
      </c>
      <c r="AI361">
        <v>24</v>
      </c>
      <c r="AJ361">
        <v>0</v>
      </c>
      <c r="AK361">
        <v>9</v>
      </c>
      <c r="AL361" t="s">
        <v>622</v>
      </c>
      <c r="AM361" t="s">
        <v>140</v>
      </c>
      <c r="AN361" t="s">
        <v>623</v>
      </c>
      <c r="AO361" t="s">
        <v>6009</v>
      </c>
      <c r="AP361" t="s">
        <v>6010</v>
      </c>
      <c r="AQ361" t="s">
        <v>74</v>
      </c>
      <c r="AR361" t="s">
        <v>6011</v>
      </c>
      <c r="AS361" t="s">
        <v>6012</v>
      </c>
      <c r="AT361" t="s">
        <v>5770</v>
      </c>
      <c r="AU361">
        <v>2005</v>
      </c>
      <c r="AV361">
        <v>60</v>
      </c>
      <c r="AW361">
        <v>24</v>
      </c>
      <c r="AX361" t="s">
        <v>74</v>
      </c>
      <c r="AY361" t="s">
        <v>74</v>
      </c>
      <c r="AZ361" t="s">
        <v>74</v>
      </c>
      <c r="BA361" t="s">
        <v>74</v>
      </c>
      <c r="BB361">
        <v>6835</v>
      </c>
      <c r="BC361">
        <v>6843</v>
      </c>
      <c r="BD361" t="s">
        <v>74</v>
      </c>
      <c r="BE361" t="s">
        <v>6013</v>
      </c>
      <c r="BF361" t="str">
        <f>HYPERLINK("http://dx.doi.org/10.1016/j.ces.2005.05.049","http://dx.doi.org/10.1016/j.ces.2005.05.049")</f>
        <v>http://dx.doi.org/10.1016/j.ces.2005.05.049</v>
      </c>
      <c r="BG361" t="s">
        <v>74</v>
      </c>
      <c r="BH361" t="s">
        <v>74</v>
      </c>
      <c r="BI361">
        <v>9</v>
      </c>
      <c r="BJ361" t="s">
        <v>6014</v>
      </c>
      <c r="BK361" t="s">
        <v>98</v>
      </c>
      <c r="BL361" t="s">
        <v>509</v>
      </c>
      <c r="BM361" t="s">
        <v>6015</v>
      </c>
      <c r="BN361" t="s">
        <v>74</v>
      </c>
      <c r="BO361" t="s">
        <v>74</v>
      </c>
      <c r="BP361" t="s">
        <v>74</v>
      </c>
      <c r="BQ361" t="s">
        <v>74</v>
      </c>
      <c r="BR361" t="s">
        <v>101</v>
      </c>
      <c r="BS361" t="s">
        <v>6016</v>
      </c>
      <c r="BT361" t="str">
        <f>HYPERLINK("https%3A%2F%2Fwww.webofscience.com%2Fwos%2Fwoscc%2Ffull-record%2FWOS:000232458500003","View Full Record in Web of Science")</f>
        <v>View Full Record in Web of Science</v>
      </c>
    </row>
    <row r="362" spans="1:72" x14ac:dyDescent="0.15">
      <c r="A362" t="s">
        <v>72</v>
      </c>
      <c r="B362" t="s">
        <v>6017</v>
      </c>
      <c r="C362" t="s">
        <v>74</v>
      </c>
      <c r="D362" t="s">
        <v>74</v>
      </c>
      <c r="E362" t="s">
        <v>74</v>
      </c>
      <c r="F362" t="s">
        <v>6017</v>
      </c>
      <c r="G362" t="s">
        <v>74</v>
      </c>
      <c r="H362" t="s">
        <v>74</v>
      </c>
      <c r="I362" t="s">
        <v>6018</v>
      </c>
      <c r="J362" t="s">
        <v>6019</v>
      </c>
      <c r="K362" t="s">
        <v>74</v>
      </c>
      <c r="L362" t="s">
        <v>74</v>
      </c>
      <c r="M362" t="s">
        <v>77</v>
      </c>
      <c r="N362" t="s">
        <v>78</v>
      </c>
      <c r="O362" t="s">
        <v>74</v>
      </c>
      <c r="P362" t="s">
        <v>74</v>
      </c>
      <c r="Q362" t="s">
        <v>74</v>
      </c>
      <c r="R362" t="s">
        <v>74</v>
      </c>
      <c r="S362" t="s">
        <v>74</v>
      </c>
      <c r="T362" t="s">
        <v>6020</v>
      </c>
      <c r="U362" t="s">
        <v>6021</v>
      </c>
      <c r="V362" t="s">
        <v>6022</v>
      </c>
      <c r="W362" t="s">
        <v>6023</v>
      </c>
      <c r="X362" t="s">
        <v>6024</v>
      </c>
      <c r="Y362" t="s">
        <v>6025</v>
      </c>
      <c r="Z362" t="s">
        <v>6026</v>
      </c>
      <c r="AA362" t="s">
        <v>6027</v>
      </c>
      <c r="AB362" t="s">
        <v>6028</v>
      </c>
      <c r="AC362" t="s">
        <v>74</v>
      </c>
      <c r="AD362" t="s">
        <v>74</v>
      </c>
      <c r="AE362" t="s">
        <v>74</v>
      </c>
      <c r="AF362" t="s">
        <v>74</v>
      </c>
      <c r="AG362">
        <v>40</v>
      </c>
      <c r="AH362">
        <v>58</v>
      </c>
      <c r="AI362">
        <v>64</v>
      </c>
      <c r="AJ362">
        <v>0</v>
      </c>
      <c r="AK362">
        <v>31</v>
      </c>
      <c r="AL362" t="s">
        <v>622</v>
      </c>
      <c r="AM362" t="s">
        <v>140</v>
      </c>
      <c r="AN362" t="s">
        <v>623</v>
      </c>
      <c r="AO362" t="s">
        <v>6029</v>
      </c>
      <c r="AP362" t="s">
        <v>6030</v>
      </c>
      <c r="AQ362" t="s">
        <v>74</v>
      </c>
      <c r="AR362" t="s">
        <v>6019</v>
      </c>
      <c r="AS362" t="s">
        <v>6031</v>
      </c>
      <c r="AT362" t="s">
        <v>5770</v>
      </c>
      <c r="AU362">
        <v>2005</v>
      </c>
      <c r="AV362">
        <v>61</v>
      </c>
      <c r="AW362">
        <v>10</v>
      </c>
      <c r="AX362" t="s">
        <v>74</v>
      </c>
      <c r="AY362" t="s">
        <v>74</v>
      </c>
      <c r="AZ362" t="s">
        <v>74</v>
      </c>
      <c r="BA362" t="s">
        <v>74</v>
      </c>
      <c r="BB362">
        <v>1485</v>
      </c>
      <c r="BC362">
        <v>1494</v>
      </c>
      <c r="BD362" t="s">
        <v>74</v>
      </c>
      <c r="BE362" t="s">
        <v>6032</v>
      </c>
      <c r="BF362" t="str">
        <f>HYPERLINK("http://dx.doi.org/10.1016/j.chemosphere.2005.04.108","http://dx.doi.org/10.1016/j.chemosphere.2005.04.108")</f>
        <v>http://dx.doi.org/10.1016/j.chemosphere.2005.04.108</v>
      </c>
      <c r="BG362" t="s">
        <v>74</v>
      </c>
      <c r="BH362" t="s">
        <v>74</v>
      </c>
      <c r="BI362">
        <v>10</v>
      </c>
      <c r="BJ362" t="s">
        <v>6033</v>
      </c>
      <c r="BK362" t="s">
        <v>98</v>
      </c>
      <c r="BL362" t="s">
        <v>1155</v>
      </c>
      <c r="BM362" t="s">
        <v>6034</v>
      </c>
      <c r="BN362">
        <v>15990148</v>
      </c>
      <c r="BO362" t="s">
        <v>74</v>
      </c>
      <c r="BP362" t="s">
        <v>74</v>
      </c>
      <c r="BQ362" t="s">
        <v>74</v>
      </c>
      <c r="BR362" t="s">
        <v>101</v>
      </c>
      <c r="BS362" t="s">
        <v>6035</v>
      </c>
      <c r="BT362" t="str">
        <f>HYPERLINK("https%3A%2F%2Fwww.webofscience.com%2Fwos%2Fwoscc%2Ffull-record%2FWOS:000234078600012","View Full Record in Web of Science")</f>
        <v>View Full Record in Web of Science</v>
      </c>
    </row>
    <row r="363" spans="1:72" x14ac:dyDescent="0.15">
      <c r="A363" t="s">
        <v>72</v>
      </c>
      <c r="B363" t="s">
        <v>6036</v>
      </c>
      <c r="C363" t="s">
        <v>74</v>
      </c>
      <c r="D363" t="s">
        <v>74</v>
      </c>
      <c r="E363" t="s">
        <v>74</v>
      </c>
      <c r="F363" t="s">
        <v>6036</v>
      </c>
      <c r="G363" t="s">
        <v>74</v>
      </c>
      <c r="H363" t="s">
        <v>74</v>
      </c>
      <c r="I363" t="s">
        <v>6037</v>
      </c>
      <c r="J363" t="s">
        <v>6038</v>
      </c>
      <c r="K363" t="s">
        <v>74</v>
      </c>
      <c r="L363" t="s">
        <v>74</v>
      </c>
      <c r="M363" t="s">
        <v>77</v>
      </c>
      <c r="N363" t="s">
        <v>78</v>
      </c>
      <c r="O363" t="s">
        <v>74</v>
      </c>
      <c r="P363" t="s">
        <v>74</v>
      </c>
      <c r="Q363" t="s">
        <v>74</v>
      </c>
      <c r="R363" t="s">
        <v>74</v>
      </c>
      <c r="S363" t="s">
        <v>74</v>
      </c>
      <c r="T363" t="s">
        <v>74</v>
      </c>
      <c r="U363" t="s">
        <v>6039</v>
      </c>
      <c r="V363" t="s">
        <v>6040</v>
      </c>
      <c r="W363" t="s">
        <v>6041</v>
      </c>
      <c r="X363" t="s">
        <v>6042</v>
      </c>
      <c r="Y363" t="s">
        <v>6043</v>
      </c>
      <c r="Z363" t="s">
        <v>428</v>
      </c>
      <c r="AA363" t="s">
        <v>6044</v>
      </c>
      <c r="AB363" t="s">
        <v>6045</v>
      </c>
      <c r="AC363" t="s">
        <v>74</v>
      </c>
      <c r="AD363" t="s">
        <v>74</v>
      </c>
      <c r="AE363" t="s">
        <v>74</v>
      </c>
      <c r="AF363" t="s">
        <v>74</v>
      </c>
      <c r="AG363">
        <v>90</v>
      </c>
      <c r="AH363">
        <v>60</v>
      </c>
      <c r="AI363">
        <v>66</v>
      </c>
      <c r="AJ363">
        <v>0</v>
      </c>
      <c r="AK363">
        <v>19</v>
      </c>
      <c r="AL363" t="s">
        <v>88</v>
      </c>
      <c r="AM363" t="s">
        <v>89</v>
      </c>
      <c r="AN363" t="s">
        <v>90</v>
      </c>
      <c r="AO363" t="s">
        <v>6046</v>
      </c>
      <c r="AP363" t="s">
        <v>6047</v>
      </c>
      <c r="AQ363" t="s">
        <v>74</v>
      </c>
      <c r="AR363" t="s">
        <v>6048</v>
      </c>
      <c r="AS363" t="s">
        <v>6049</v>
      </c>
      <c r="AT363" t="s">
        <v>5770</v>
      </c>
      <c r="AU363">
        <v>2005</v>
      </c>
      <c r="AV363">
        <v>25</v>
      </c>
      <c r="AW363" t="s">
        <v>6050</v>
      </c>
      <c r="AX363" t="s">
        <v>74</v>
      </c>
      <c r="AY363" t="s">
        <v>74</v>
      </c>
      <c r="AZ363" t="s">
        <v>74</v>
      </c>
      <c r="BA363" t="s">
        <v>74</v>
      </c>
      <c r="BB363">
        <v>689</v>
      </c>
      <c r="BC363">
        <v>708</v>
      </c>
      <c r="BD363" t="s">
        <v>74</v>
      </c>
      <c r="BE363" t="s">
        <v>6051</v>
      </c>
      <c r="BF363" t="str">
        <f>HYPERLINK("http://dx.doi.org/10.1007/s00382-005-0058-8","http://dx.doi.org/10.1007/s00382-005-0058-8")</f>
        <v>http://dx.doi.org/10.1007/s00382-005-0058-8</v>
      </c>
      <c r="BG363" t="s">
        <v>74</v>
      </c>
      <c r="BH363" t="s">
        <v>74</v>
      </c>
      <c r="BI363">
        <v>20</v>
      </c>
      <c r="BJ363" t="s">
        <v>2033</v>
      </c>
      <c r="BK363" t="s">
        <v>98</v>
      </c>
      <c r="BL363" t="s">
        <v>2033</v>
      </c>
      <c r="BM363" t="s">
        <v>6052</v>
      </c>
      <c r="BN363" t="s">
        <v>74</v>
      </c>
      <c r="BO363" t="s">
        <v>1925</v>
      </c>
      <c r="BP363" t="s">
        <v>74</v>
      </c>
      <c r="BQ363" t="s">
        <v>74</v>
      </c>
      <c r="BR363" t="s">
        <v>101</v>
      </c>
      <c r="BS363" t="s">
        <v>6053</v>
      </c>
      <c r="BT363" t="str">
        <f>HYPERLINK("https%3A%2F%2Fwww.webofscience.com%2Fwos%2Fwoscc%2Ffull-record%2FWOS:000233240800002","View Full Record in Web of Science")</f>
        <v>View Full Record in Web of Science</v>
      </c>
    </row>
    <row r="364" spans="1:72" x14ac:dyDescent="0.15">
      <c r="A364" t="s">
        <v>72</v>
      </c>
      <c r="B364" t="s">
        <v>6054</v>
      </c>
      <c r="C364" t="s">
        <v>74</v>
      </c>
      <c r="D364" t="s">
        <v>74</v>
      </c>
      <c r="E364" t="s">
        <v>74</v>
      </c>
      <c r="F364" t="s">
        <v>6054</v>
      </c>
      <c r="G364" t="s">
        <v>74</v>
      </c>
      <c r="H364" t="s">
        <v>74</v>
      </c>
      <c r="I364" t="s">
        <v>6055</v>
      </c>
      <c r="J364" t="s">
        <v>6038</v>
      </c>
      <c r="K364" t="s">
        <v>74</v>
      </c>
      <c r="L364" t="s">
        <v>74</v>
      </c>
      <c r="M364" t="s">
        <v>77</v>
      </c>
      <c r="N364" t="s">
        <v>78</v>
      </c>
      <c r="O364" t="s">
        <v>74</v>
      </c>
      <c r="P364" t="s">
        <v>74</v>
      </c>
      <c r="Q364" t="s">
        <v>74</v>
      </c>
      <c r="R364" t="s">
        <v>74</v>
      </c>
      <c r="S364" t="s">
        <v>74</v>
      </c>
      <c r="T364" t="s">
        <v>74</v>
      </c>
      <c r="U364" t="s">
        <v>6056</v>
      </c>
      <c r="V364" t="s">
        <v>6057</v>
      </c>
      <c r="W364" t="s">
        <v>6058</v>
      </c>
      <c r="X364" t="s">
        <v>6059</v>
      </c>
      <c r="Y364" t="s">
        <v>6060</v>
      </c>
      <c r="Z364" t="s">
        <v>6061</v>
      </c>
      <c r="AA364" t="s">
        <v>74</v>
      </c>
      <c r="AB364" t="s">
        <v>6062</v>
      </c>
      <c r="AC364" t="s">
        <v>74</v>
      </c>
      <c r="AD364" t="s">
        <v>74</v>
      </c>
      <c r="AE364" t="s">
        <v>74</v>
      </c>
      <c r="AF364" t="s">
        <v>74</v>
      </c>
      <c r="AG364">
        <v>31</v>
      </c>
      <c r="AH364">
        <v>15</v>
      </c>
      <c r="AI364">
        <v>16</v>
      </c>
      <c r="AJ364">
        <v>0</v>
      </c>
      <c r="AK364">
        <v>3</v>
      </c>
      <c r="AL364" t="s">
        <v>88</v>
      </c>
      <c r="AM364" t="s">
        <v>89</v>
      </c>
      <c r="AN364" t="s">
        <v>3984</v>
      </c>
      <c r="AO364" t="s">
        <v>6046</v>
      </c>
      <c r="AP364" t="s">
        <v>6047</v>
      </c>
      <c r="AQ364" t="s">
        <v>74</v>
      </c>
      <c r="AR364" t="s">
        <v>6048</v>
      </c>
      <c r="AS364" t="s">
        <v>6049</v>
      </c>
      <c r="AT364" t="s">
        <v>5770</v>
      </c>
      <c r="AU364">
        <v>2005</v>
      </c>
      <c r="AV364">
        <v>25</v>
      </c>
      <c r="AW364" t="s">
        <v>6050</v>
      </c>
      <c r="AX364" t="s">
        <v>74</v>
      </c>
      <c r="AY364" t="s">
        <v>74</v>
      </c>
      <c r="AZ364" t="s">
        <v>74</v>
      </c>
      <c r="BA364" t="s">
        <v>74</v>
      </c>
      <c r="BB364">
        <v>709</v>
      </c>
      <c r="BC364">
        <v>723</v>
      </c>
      <c r="BD364" t="s">
        <v>74</v>
      </c>
      <c r="BE364" t="s">
        <v>6063</v>
      </c>
      <c r="BF364" t="str">
        <f>HYPERLINK("http://dx.doi.org/10.1007/s00382-005-0069-5","http://dx.doi.org/10.1007/s00382-005-0069-5")</f>
        <v>http://dx.doi.org/10.1007/s00382-005-0069-5</v>
      </c>
      <c r="BG364" t="s">
        <v>74</v>
      </c>
      <c r="BH364" t="s">
        <v>74</v>
      </c>
      <c r="BI364">
        <v>15</v>
      </c>
      <c r="BJ364" t="s">
        <v>2033</v>
      </c>
      <c r="BK364" t="s">
        <v>98</v>
      </c>
      <c r="BL364" t="s">
        <v>2033</v>
      </c>
      <c r="BM364" t="s">
        <v>6052</v>
      </c>
      <c r="BN364" t="s">
        <v>74</v>
      </c>
      <c r="BO364" t="s">
        <v>74</v>
      </c>
      <c r="BP364" t="s">
        <v>74</v>
      </c>
      <c r="BQ364" t="s">
        <v>74</v>
      </c>
      <c r="BR364" t="s">
        <v>101</v>
      </c>
      <c r="BS364" t="s">
        <v>6064</v>
      </c>
      <c r="BT364" t="str">
        <f>HYPERLINK("https%3A%2F%2Fwww.webofscience.com%2Fwos%2Fwoscc%2Ffull-record%2FWOS:000233240800003","View Full Record in Web of Science")</f>
        <v>View Full Record in Web of Science</v>
      </c>
    </row>
    <row r="365" spans="1:72" x14ac:dyDescent="0.15">
      <c r="A365" t="s">
        <v>72</v>
      </c>
      <c r="B365" t="s">
        <v>6065</v>
      </c>
      <c r="C365" t="s">
        <v>74</v>
      </c>
      <c r="D365" t="s">
        <v>74</v>
      </c>
      <c r="E365" t="s">
        <v>74</v>
      </c>
      <c r="F365" t="s">
        <v>6065</v>
      </c>
      <c r="G365" t="s">
        <v>74</v>
      </c>
      <c r="H365" t="s">
        <v>74</v>
      </c>
      <c r="I365" t="s">
        <v>6066</v>
      </c>
      <c r="J365" t="s">
        <v>6067</v>
      </c>
      <c r="K365" t="s">
        <v>74</v>
      </c>
      <c r="L365" t="s">
        <v>74</v>
      </c>
      <c r="M365" t="s">
        <v>77</v>
      </c>
      <c r="N365" t="s">
        <v>78</v>
      </c>
      <c r="O365" t="s">
        <v>74</v>
      </c>
      <c r="P365" t="s">
        <v>74</v>
      </c>
      <c r="Q365" t="s">
        <v>74</v>
      </c>
      <c r="R365" t="s">
        <v>74</v>
      </c>
      <c r="S365" t="s">
        <v>74</v>
      </c>
      <c r="T365" t="s">
        <v>74</v>
      </c>
      <c r="U365" t="s">
        <v>6068</v>
      </c>
      <c r="V365" t="s">
        <v>6069</v>
      </c>
      <c r="W365" t="s">
        <v>6070</v>
      </c>
      <c r="X365" t="s">
        <v>6071</v>
      </c>
      <c r="Y365" t="s">
        <v>6072</v>
      </c>
      <c r="Z365" t="s">
        <v>6073</v>
      </c>
      <c r="AA365" t="s">
        <v>6074</v>
      </c>
      <c r="AB365" t="s">
        <v>6075</v>
      </c>
      <c r="AC365" t="s">
        <v>74</v>
      </c>
      <c r="AD365" t="s">
        <v>74</v>
      </c>
      <c r="AE365" t="s">
        <v>74</v>
      </c>
      <c r="AF365" t="s">
        <v>74</v>
      </c>
      <c r="AG365">
        <v>48</v>
      </c>
      <c r="AH365">
        <v>38</v>
      </c>
      <c r="AI365">
        <v>44</v>
      </c>
      <c r="AJ365">
        <v>0</v>
      </c>
      <c r="AK365">
        <v>12</v>
      </c>
      <c r="AL365" t="s">
        <v>88</v>
      </c>
      <c r="AM365" t="s">
        <v>162</v>
      </c>
      <c r="AN365" t="s">
        <v>163</v>
      </c>
      <c r="AO365" t="s">
        <v>6076</v>
      </c>
      <c r="AP365" t="s">
        <v>6077</v>
      </c>
      <c r="AQ365" t="s">
        <v>74</v>
      </c>
      <c r="AR365" t="s">
        <v>6067</v>
      </c>
      <c r="AS365" t="s">
        <v>6078</v>
      </c>
      <c r="AT365" t="s">
        <v>5770</v>
      </c>
      <c r="AU365">
        <v>2005</v>
      </c>
      <c r="AV365">
        <v>73</v>
      </c>
      <c r="AW365">
        <v>3</v>
      </c>
      <c r="AX365" t="s">
        <v>74</v>
      </c>
      <c r="AY365" t="s">
        <v>74</v>
      </c>
      <c r="AZ365" t="s">
        <v>74</v>
      </c>
      <c r="BA365" t="s">
        <v>74</v>
      </c>
      <c r="BB365">
        <v>227</v>
      </c>
      <c r="BC365">
        <v>238</v>
      </c>
      <c r="BD365" t="s">
        <v>74</v>
      </c>
      <c r="BE365" t="s">
        <v>6079</v>
      </c>
      <c r="BF365" t="str">
        <f>HYPERLINK("http://dx.doi.org/10.1007/s10584-005-0426-8","http://dx.doi.org/10.1007/s10584-005-0426-8")</f>
        <v>http://dx.doi.org/10.1007/s10584-005-0426-8</v>
      </c>
      <c r="BG365" t="s">
        <v>74</v>
      </c>
      <c r="BH365" t="s">
        <v>74</v>
      </c>
      <c r="BI365">
        <v>12</v>
      </c>
      <c r="BJ365" t="s">
        <v>6080</v>
      </c>
      <c r="BK365" t="s">
        <v>1389</v>
      </c>
      <c r="BL365" t="s">
        <v>6081</v>
      </c>
      <c r="BM365" t="s">
        <v>6082</v>
      </c>
      <c r="BN365" t="s">
        <v>74</v>
      </c>
      <c r="BO365" t="s">
        <v>74</v>
      </c>
      <c r="BP365" t="s">
        <v>74</v>
      </c>
      <c r="BQ365" t="s">
        <v>74</v>
      </c>
      <c r="BR365" t="s">
        <v>101</v>
      </c>
      <c r="BS365" t="s">
        <v>6083</v>
      </c>
      <c r="BT365" t="str">
        <f>HYPERLINK("https%3A%2F%2Fwww.webofscience.com%2Fwos%2Fwoscc%2Ffull-record%2FWOS:000234482000002","View Full Record in Web of Science")</f>
        <v>View Full Record in Web of Science</v>
      </c>
    </row>
    <row r="366" spans="1:72" x14ac:dyDescent="0.15">
      <c r="A366" t="s">
        <v>72</v>
      </c>
      <c r="B366" t="s">
        <v>6084</v>
      </c>
      <c r="C366" t="s">
        <v>74</v>
      </c>
      <c r="D366" t="s">
        <v>74</v>
      </c>
      <c r="E366" t="s">
        <v>74</v>
      </c>
      <c r="F366" t="s">
        <v>6084</v>
      </c>
      <c r="G366" t="s">
        <v>74</v>
      </c>
      <c r="H366" t="s">
        <v>74</v>
      </c>
      <c r="I366" t="s">
        <v>6085</v>
      </c>
      <c r="J366" t="s">
        <v>6086</v>
      </c>
      <c r="K366" t="s">
        <v>74</v>
      </c>
      <c r="L366" t="s">
        <v>74</v>
      </c>
      <c r="M366" t="s">
        <v>77</v>
      </c>
      <c r="N366" t="s">
        <v>78</v>
      </c>
      <c r="O366" t="s">
        <v>74</v>
      </c>
      <c r="P366" t="s">
        <v>74</v>
      </c>
      <c r="Q366" t="s">
        <v>74</v>
      </c>
      <c r="R366" t="s">
        <v>74</v>
      </c>
      <c r="S366" t="s">
        <v>74</v>
      </c>
      <c r="T366" t="s">
        <v>6087</v>
      </c>
      <c r="U366" t="s">
        <v>6088</v>
      </c>
      <c r="V366" t="s">
        <v>6089</v>
      </c>
      <c r="W366" t="s">
        <v>6090</v>
      </c>
      <c r="X366" t="s">
        <v>6091</v>
      </c>
      <c r="Y366" t="s">
        <v>6092</v>
      </c>
      <c r="Z366" t="s">
        <v>6093</v>
      </c>
      <c r="AA366" t="s">
        <v>6094</v>
      </c>
      <c r="AB366" t="s">
        <v>6095</v>
      </c>
      <c r="AC366" t="s">
        <v>74</v>
      </c>
      <c r="AD366" t="s">
        <v>74</v>
      </c>
      <c r="AE366" t="s">
        <v>74</v>
      </c>
      <c r="AF366" t="s">
        <v>74</v>
      </c>
      <c r="AG366">
        <v>25</v>
      </c>
      <c r="AH366">
        <v>449</v>
      </c>
      <c r="AI366">
        <v>495</v>
      </c>
      <c r="AJ366">
        <v>5</v>
      </c>
      <c r="AK366">
        <v>282</v>
      </c>
      <c r="AL366" t="s">
        <v>2025</v>
      </c>
      <c r="AM366" t="s">
        <v>2026</v>
      </c>
      <c r="AN366" t="s">
        <v>2027</v>
      </c>
      <c r="AO366" t="s">
        <v>6096</v>
      </c>
      <c r="AP366" t="s">
        <v>6097</v>
      </c>
      <c r="AQ366" t="s">
        <v>74</v>
      </c>
      <c r="AR366" t="s">
        <v>6098</v>
      </c>
      <c r="AS366" t="s">
        <v>6099</v>
      </c>
      <c r="AT366" t="s">
        <v>5770</v>
      </c>
      <c r="AU366">
        <v>2005</v>
      </c>
      <c r="AV366">
        <v>19</v>
      </c>
      <c r="AW366">
        <v>6</v>
      </c>
      <c r="AX366" t="s">
        <v>74</v>
      </c>
      <c r="AY366" t="s">
        <v>74</v>
      </c>
      <c r="AZ366" t="s">
        <v>74</v>
      </c>
      <c r="BA366" t="s">
        <v>74</v>
      </c>
      <c r="BB366">
        <v>1733</v>
      </c>
      <c r="BC366">
        <v>1744</v>
      </c>
      <c r="BD366" t="s">
        <v>74</v>
      </c>
      <c r="BE366" t="s">
        <v>6100</v>
      </c>
      <c r="BF366" t="str">
        <f>HYPERLINK("http://dx.doi.org/10.1111/j.1523-1739.2005.00302.x","http://dx.doi.org/10.1111/j.1523-1739.2005.00302.x")</f>
        <v>http://dx.doi.org/10.1111/j.1523-1739.2005.00302.x</v>
      </c>
      <c r="BG366" t="s">
        <v>74</v>
      </c>
      <c r="BH366" t="s">
        <v>74</v>
      </c>
      <c r="BI366">
        <v>12</v>
      </c>
      <c r="BJ366" t="s">
        <v>146</v>
      </c>
      <c r="BK366" t="s">
        <v>98</v>
      </c>
      <c r="BL366" t="s">
        <v>147</v>
      </c>
      <c r="BM366" t="s">
        <v>6101</v>
      </c>
      <c r="BN366" t="s">
        <v>74</v>
      </c>
      <c r="BO366" t="s">
        <v>74</v>
      </c>
      <c r="BP366" t="s">
        <v>74</v>
      </c>
      <c r="BQ366" t="s">
        <v>74</v>
      </c>
      <c r="BR366" t="s">
        <v>101</v>
      </c>
      <c r="BS366" t="s">
        <v>6102</v>
      </c>
      <c r="BT366" t="str">
        <f>HYPERLINK("https%3A%2F%2Fwww.webofscience.com%2Fwos%2Fwoscc%2Ffull-record%2FWOS:000233938100013","View Full Record in Web of Science")</f>
        <v>View Full Record in Web of Science</v>
      </c>
    </row>
    <row r="367" spans="1:72" x14ac:dyDescent="0.15">
      <c r="A367" t="s">
        <v>72</v>
      </c>
      <c r="B367" t="s">
        <v>6103</v>
      </c>
      <c r="C367" t="s">
        <v>74</v>
      </c>
      <c r="D367" t="s">
        <v>74</v>
      </c>
      <c r="E367" t="s">
        <v>74</v>
      </c>
      <c r="F367" t="s">
        <v>6103</v>
      </c>
      <c r="G367" t="s">
        <v>74</v>
      </c>
      <c r="H367" t="s">
        <v>74</v>
      </c>
      <c r="I367" t="s">
        <v>6104</v>
      </c>
      <c r="J367" t="s">
        <v>6105</v>
      </c>
      <c r="K367" t="s">
        <v>74</v>
      </c>
      <c r="L367" t="s">
        <v>74</v>
      </c>
      <c r="M367" t="s">
        <v>77</v>
      </c>
      <c r="N367" t="s">
        <v>78</v>
      </c>
      <c r="O367" t="s">
        <v>74</v>
      </c>
      <c r="P367" t="s">
        <v>74</v>
      </c>
      <c r="Q367" t="s">
        <v>74</v>
      </c>
      <c r="R367" t="s">
        <v>74</v>
      </c>
      <c r="S367" t="s">
        <v>74</v>
      </c>
      <c r="T367" t="s">
        <v>6106</v>
      </c>
      <c r="U367" t="s">
        <v>6107</v>
      </c>
      <c r="V367" t="s">
        <v>6108</v>
      </c>
      <c r="W367" t="s">
        <v>6109</v>
      </c>
      <c r="X367" t="s">
        <v>6110</v>
      </c>
      <c r="Y367" t="s">
        <v>6111</v>
      </c>
      <c r="Z367" t="s">
        <v>6112</v>
      </c>
      <c r="AA367" t="s">
        <v>6113</v>
      </c>
      <c r="AB367" t="s">
        <v>6114</v>
      </c>
      <c r="AC367" t="s">
        <v>74</v>
      </c>
      <c r="AD367" t="s">
        <v>74</v>
      </c>
      <c r="AE367" t="s">
        <v>74</v>
      </c>
      <c r="AF367" t="s">
        <v>74</v>
      </c>
      <c r="AG367">
        <v>64</v>
      </c>
      <c r="AH367">
        <v>7</v>
      </c>
      <c r="AI367">
        <v>7</v>
      </c>
      <c r="AJ367">
        <v>0</v>
      </c>
      <c r="AK367">
        <v>0</v>
      </c>
      <c r="AL367" t="s">
        <v>6115</v>
      </c>
      <c r="AM367" t="s">
        <v>1055</v>
      </c>
      <c r="AN367" t="s">
        <v>6116</v>
      </c>
      <c r="AO367" t="s">
        <v>6117</v>
      </c>
      <c r="AP367" t="s">
        <v>6118</v>
      </c>
      <c r="AQ367" t="s">
        <v>74</v>
      </c>
      <c r="AR367" t="s">
        <v>6119</v>
      </c>
      <c r="AS367" t="s">
        <v>6120</v>
      </c>
      <c r="AT367" t="s">
        <v>5770</v>
      </c>
      <c r="AU367">
        <v>2005</v>
      </c>
      <c r="AV367">
        <v>26</v>
      </c>
      <c r="AW367">
        <v>6</v>
      </c>
      <c r="AX367" t="s">
        <v>74</v>
      </c>
      <c r="AY367" t="s">
        <v>74</v>
      </c>
      <c r="AZ367" t="s">
        <v>74</v>
      </c>
      <c r="BA367" t="s">
        <v>74</v>
      </c>
      <c r="BB367">
        <v>906</v>
      </c>
      <c r="BC367">
        <v>919</v>
      </c>
      <c r="BD367" t="s">
        <v>74</v>
      </c>
      <c r="BE367" t="s">
        <v>6121</v>
      </c>
      <c r="BF367" t="str">
        <f>HYPERLINK("http://dx.doi.org/10.1016/j.cretres.2005.06.004","http://dx.doi.org/10.1016/j.cretres.2005.06.004")</f>
        <v>http://dx.doi.org/10.1016/j.cretres.2005.06.004</v>
      </c>
      <c r="BG367" t="s">
        <v>74</v>
      </c>
      <c r="BH367" t="s">
        <v>74</v>
      </c>
      <c r="BI367">
        <v>14</v>
      </c>
      <c r="BJ367" t="s">
        <v>3879</v>
      </c>
      <c r="BK367" t="s">
        <v>98</v>
      </c>
      <c r="BL367" t="s">
        <v>3879</v>
      </c>
      <c r="BM367" t="s">
        <v>6122</v>
      </c>
      <c r="BN367" t="s">
        <v>74</v>
      </c>
      <c r="BO367" t="s">
        <v>74</v>
      </c>
      <c r="BP367" t="s">
        <v>74</v>
      </c>
      <c r="BQ367" t="s">
        <v>74</v>
      </c>
      <c r="BR367" t="s">
        <v>101</v>
      </c>
      <c r="BS367" t="s">
        <v>6123</v>
      </c>
      <c r="BT367" t="str">
        <f>HYPERLINK("https%3A%2F%2Fwww.webofscience.com%2Fwos%2Fwoscc%2Ffull-record%2FWOS:000234168700008","View Full Record in Web of Science")</f>
        <v>View Full Record in Web of Science</v>
      </c>
    </row>
    <row r="368" spans="1:72" x14ac:dyDescent="0.15">
      <c r="A368" t="s">
        <v>72</v>
      </c>
      <c r="B368" t="s">
        <v>6124</v>
      </c>
      <c r="C368" t="s">
        <v>74</v>
      </c>
      <c r="D368" t="s">
        <v>74</v>
      </c>
      <c r="E368" t="s">
        <v>74</v>
      </c>
      <c r="F368" t="s">
        <v>6124</v>
      </c>
      <c r="G368" t="s">
        <v>74</v>
      </c>
      <c r="H368" t="s">
        <v>74</v>
      </c>
      <c r="I368" t="s">
        <v>6125</v>
      </c>
      <c r="J368" t="s">
        <v>615</v>
      </c>
      <c r="K368" t="s">
        <v>74</v>
      </c>
      <c r="L368" t="s">
        <v>74</v>
      </c>
      <c r="M368" t="s">
        <v>77</v>
      </c>
      <c r="N368" t="s">
        <v>78</v>
      </c>
      <c r="O368" t="s">
        <v>74</v>
      </c>
      <c r="P368" t="s">
        <v>74</v>
      </c>
      <c r="Q368" t="s">
        <v>74</v>
      </c>
      <c r="R368" t="s">
        <v>74</v>
      </c>
      <c r="S368" t="s">
        <v>74</v>
      </c>
      <c r="T368" t="s">
        <v>6126</v>
      </c>
      <c r="U368" t="s">
        <v>6127</v>
      </c>
      <c r="V368" t="s">
        <v>6128</v>
      </c>
      <c r="W368" t="s">
        <v>6129</v>
      </c>
      <c r="X368" t="s">
        <v>6130</v>
      </c>
      <c r="Y368" t="s">
        <v>6131</v>
      </c>
      <c r="Z368" t="s">
        <v>6132</v>
      </c>
      <c r="AA368" t="s">
        <v>6133</v>
      </c>
      <c r="AB368" t="s">
        <v>6134</v>
      </c>
      <c r="AC368" t="s">
        <v>74</v>
      </c>
      <c r="AD368" t="s">
        <v>74</v>
      </c>
      <c r="AE368" t="s">
        <v>74</v>
      </c>
      <c r="AF368" t="s">
        <v>74</v>
      </c>
      <c r="AG368">
        <v>56</v>
      </c>
      <c r="AH368">
        <v>19</v>
      </c>
      <c r="AI368">
        <v>19</v>
      </c>
      <c r="AJ368">
        <v>0</v>
      </c>
      <c r="AK368">
        <v>6</v>
      </c>
      <c r="AL368" t="s">
        <v>622</v>
      </c>
      <c r="AM368" t="s">
        <v>140</v>
      </c>
      <c r="AN368" t="s">
        <v>623</v>
      </c>
      <c r="AO368" t="s">
        <v>624</v>
      </c>
      <c r="AP368" t="s">
        <v>74</v>
      </c>
      <c r="AQ368" t="s">
        <v>74</v>
      </c>
      <c r="AR368" t="s">
        <v>626</v>
      </c>
      <c r="AS368" t="s">
        <v>627</v>
      </c>
      <c r="AT368" t="s">
        <v>5770</v>
      </c>
      <c r="AU368">
        <v>2005</v>
      </c>
      <c r="AV368">
        <v>52</v>
      </c>
      <c r="AW368">
        <v>12</v>
      </c>
      <c r="AX368" t="s">
        <v>74</v>
      </c>
      <c r="AY368" t="s">
        <v>74</v>
      </c>
      <c r="AZ368" t="s">
        <v>74</v>
      </c>
      <c r="BA368" t="s">
        <v>74</v>
      </c>
      <c r="BB368">
        <v>2275</v>
      </c>
      <c r="BC368">
        <v>2284</v>
      </c>
      <c r="BD368" t="s">
        <v>74</v>
      </c>
      <c r="BE368" t="s">
        <v>6135</v>
      </c>
      <c r="BF368" t="str">
        <f>HYPERLINK("http://dx.doi.org/10.1016/j.dsr.2005.09.001","http://dx.doi.org/10.1016/j.dsr.2005.09.001")</f>
        <v>http://dx.doi.org/10.1016/j.dsr.2005.09.001</v>
      </c>
      <c r="BG368" t="s">
        <v>74</v>
      </c>
      <c r="BH368" t="s">
        <v>74</v>
      </c>
      <c r="BI368">
        <v>10</v>
      </c>
      <c r="BJ368" t="s">
        <v>629</v>
      </c>
      <c r="BK368" t="s">
        <v>98</v>
      </c>
      <c r="BL368" t="s">
        <v>629</v>
      </c>
      <c r="BM368" t="s">
        <v>6136</v>
      </c>
      <c r="BN368" t="s">
        <v>74</v>
      </c>
      <c r="BO368" t="s">
        <v>722</v>
      </c>
      <c r="BP368" t="s">
        <v>74</v>
      </c>
      <c r="BQ368" t="s">
        <v>74</v>
      </c>
      <c r="BR368" t="s">
        <v>101</v>
      </c>
      <c r="BS368" t="s">
        <v>6137</v>
      </c>
      <c r="BT368" t="str">
        <f>HYPERLINK("https%3A%2F%2Fwww.webofscience.com%2Fwos%2Fwoscc%2Ffull-record%2FWOS:000234038500005","View Full Record in Web of Science")</f>
        <v>View Full Record in Web of Science</v>
      </c>
    </row>
    <row r="369" spans="1:72" x14ac:dyDescent="0.15">
      <c r="A369" t="s">
        <v>72</v>
      </c>
      <c r="B369" t="s">
        <v>6138</v>
      </c>
      <c r="C369" t="s">
        <v>74</v>
      </c>
      <c r="D369" t="s">
        <v>74</v>
      </c>
      <c r="E369" t="s">
        <v>74</v>
      </c>
      <c r="F369" t="s">
        <v>6138</v>
      </c>
      <c r="G369" t="s">
        <v>74</v>
      </c>
      <c r="H369" t="s">
        <v>74</v>
      </c>
      <c r="I369" t="s">
        <v>6139</v>
      </c>
      <c r="J369" t="s">
        <v>615</v>
      </c>
      <c r="K369" t="s">
        <v>74</v>
      </c>
      <c r="L369" t="s">
        <v>74</v>
      </c>
      <c r="M369" t="s">
        <v>77</v>
      </c>
      <c r="N369" t="s">
        <v>78</v>
      </c>
      <c r="O369" t="s">
        <v>74</v>
      </c>
      <c r="P369" t="s">
        <v>74</v>
      </c>
      <c r="Q369" t="s">
        <v>74</v>
      </c>
      <c r="R369" t="s">
        <v>74</v>
      </c>
      <c r="S369" t="s">
        <v>74</v>
      </c>
      <c r="T369" t="s">
        <v>6140</v>
      </c>
      <c r="U369" t="s">
        <v>6141</v>
      </c>
      <c r="V369" t="s">
        <v>6142</v>
      </c>
      <c r="W369" t="s">
        <v>6143</v>
      </c>
      <c r="X369" t="s">
        <v>6144</v>
      </c>
      <c r="Y369" t="s">
        <v>6145</v>
      </c>
      <c r="Z369" t="s">
        <v>6146</v>
      </c>
      <c r="AA369" t="s">
        <v>6147</v>
      </c>
      <c r="AB369" t="s">
        <v>6148</v>
      </c>
      <c r="AC369" t="s">
        <v>74</v>
      </c>
      <c r="AD369" t="s">
        <v>74</v>
      </c>
      <c r="AE369" t="s">
        <v>74</v>
      </c>
      <c r="AF369" t="s">
        <v>74</v>
      </c>
      <c r="AG369">
        <v>53</v>
      </c>
      <c r="AH369">
        <v>31</v>
      </c>
      <c r="AI369">
        <v>33</v>
      </c>
      <c r="AJ369">
        <v>0</v>
      </c>
      <c r="AK369">
        <v>26</v>
      </c>
      <c r="AL369" t="s">
        <v>622</v>
      </c>
      <c r="AM369" t="s">
        <v>140</v>
      </c>
      <c r="AN369" t="s">
        <v>623</v>
      </c>
      <c r="AO369" t="s">
        <v>624</v>
      </c>
      <c r="AP369" t="s">
        <v>74</v>
      </c>
      <c r="AQ369" t="s">
        <v>74</v>
      </c>
      <c r="AR369" t="s">
        <v>626</v>
      </c>
      <c r="AS369" t="s">
        <v>627</v>
      </c>
      <c r="AT369" t="s">
        <v>5770</v>
      </c>
      <c r="AU369">
        <v>2005</v>
      </c>
      <c r="AV369">
        <v>52</v>
      </c>
      <c r="AW369">
        <v>12</v>
      </c>
      <c r="AX369" t="s">
        <v>74</v>
      </c>
      <c r="AY369" t="s">
        <v>74</v>
      </c>
      <c r="AZ369" t="s">
        <v>74</v>
      </c>
      <c r="BA369" t="s">
        <v>74</v>
      </c>
      <c r="BB369">
        <v>2333</v>
      </c>
      <c r="BC369">
        <v>2352</v>
      </c>
      <c r="BD369" t="s">
        <v>74</v>
      </c>
      <c r="BE369" t="s">
        <v>6149</v>
      </c>
      <c r="BF369" t="str">
        <f>HYPERLINK("http://dx.doi.org/10.1016/j.dsr.2005.08.001","http://dx.doi.org/10.1016/j.dsr.2005.08.001")</f>
        <v>http://dx.doi.org/10.1016/j.dsr.2005.08.001</v>
      </c>
      <c r="BG369" t="s">
        <v>74</v>
      </c>
      <c r="BH369" t="s">
        <v>74</v>
      </c>
      <c r="BI369">
        <v>20</v>
      </c>
      <c r="BJ369" t="s">
        <v>629</v>
      </c>
      <c r="BK369" t="s">
        <v>98</v>
      </c>
      <c r="BL369" t="s">
        <v>629</v>
      </c>
      <c r="BM369" t="s">
        <v>6136</v>
      </c>
      <c r="BN369" t="s">
        <v>74</v>
      </c>
      <c r="BO369" t="s">
        <v>74</v>
      </c>
      <c r="BP369" t="s">
        <v>74</v>
      </c>
      <c r="BQ369" t="s">
        <v>74</v>
      </c>
      <c r="BR369" t="s">
        <v>101</v>
      </c>
      <c r="BS369" t="s">
        <v>6150</v>
      </c>
      <c r="BT369" t="str">
        <f>HYPERLINK("https%3A%2F%2Fwww.webofscience.com%2Fwos%2Fwoscc%2Ffull-record%2FWOS:000234038500009","View Full Record in Web of Science")</f>
        <v>View Full Record in Web of Science</v>
      </c>
    </row>
    <row r="370" spans="1:72" x14ac:dyDescent="0.15">
      <c r="A370" t="s">
        <v>72</v>
      </c>
      <c r="B370" t="s">
        <v>6151</v>
      </c>
      <c r="C370" t="s">
        <v>74</v>
      </c>
      <c r="D370" t="s">
        <v>74</v>
      </c>
      <c r="E370" t="s">
        <v>74</v>
      </c>
      <c r="F370" t="s">
        <v>6151</v>
      </c>
      <c r="G370" t="s">
        <v>74</v>
      </c>
      <c r="H370" t="s">
        <v>74</v>
      </c>
      <c r="I370" t="s">
        <v>6152</v>
      </c>
      <c r="J370" t="s">
        <v>6153</v>
      </c>
      <c r="K370" t="s">
        <v>74</v>
      </c>
      <c r="L370" t="s">
        <v>74</v>
      </c>
      <c r="M370" t="s">
        <v>77</v>
      </c>
      <c r="N370" t="s">
        <v>78</v>
      </c>
      <c r="O370" t="s">
        <v>74</v>
      </c>
      <c r="P370" t="s">
        <v>74</v>
      </c>
      <c r="Q370" t="s">
        <v>74</v>
      </c>
      <c r="R370" t="s">
        <v>74</v>
      </c>
      <c r="S370" t="s">
        <v>74</v>
      </c>
      <c r="T370" t="s">
        <v>6154</v>
      </c>
      <c r="U370" t="s">
        <v>6155</v>
      </c>
      <c r="V370" t="s">
        <v>6156</v>
      </c>
      <c r="W370" t="s">
        <v>6157</v>
      </c>
      <c r="X370" t="s">
        <v>6158</v>
      </c>
      <c r="Y370" t="s">
        <v>6159</v>
      </c>
      <c r="Z370" t="s">
        <v>6160</v>
      </c>
      <c r="AA370" t="s">
        <v>6161</v>
      </c>
      <c r="AB370" t="s">
        <v>6162</v>
      </c>
      <c r="AC370" t="s">
        <v>74</v>
      </c>
      <c r="AD370" t="s">
        <v>74</v>
      </c>
      <c r="AE370" t="s">
        <v>74</v>
      </c>
      <c r="AF370" t="s">
        <v>74</v>
      </c>
      <c r="AG370">
        <v>39</v>
      </c>
      <c r="AH370">
        <v>18</v>
      </c>
      <c r="AI370">
        <v>21</v>
      </c>
      <c r="AJ370">
        <v>0</v>
      </c>
      <c r="AK370">
        <v>10</v>
      </c>
      <c r="AL370" t="s">
        <v>3283</v>
      </c>
      <c r="AM370" t="s">
        <v>1148</v>
      </c>
      <c r="AN370" t="s">
        <v>3284</v>
      </c>
      <c r="AO370" t="s">
        <v>6163</v>
      </c>
      <c r="AP370" t="s">
        <v>6164</v>
      </c>
      <c r="AQ370" t="s">
        <v>74</v>
      </c>
      <c r="AR370" t="s">
        <v>6165</v>
      </c>
      <c r="AS370" t="s">
        <v>6166</v>
      </c>
      <c r="AT370" t="s">
        <v>5770</v>
      </c>
      <c r="AU370">
        <v>2005</v>
      </c>
      <c r="AV370">
        <v>76</v>
      </c>
      <c r="AW370">
        <v>3</v>
      </c>
      <c r="AX370" t="s">
        <v>74</v>
      </c>
      <c r="AY370" t="s">
        <v>74</v>
      </c>
      <c r="AZ370" t="s">
        <v>74</v>
      </c>
      <c r="BA370" t="s">
        <v>74</v>
      </c>
      <c r="BB370">
        <v>417</v>
      </c>
      <c r="BC370">
        <v>429</v>
      </c>
      <c r="BD370" t="s">
        <v>74</v>
      </c>
      <c r="BE370" t="s">
        <v>6167</v>
      </c>
      <c r="BF370" t="str">
        <f>HYPERLINK("http://dx.doi.org/10.1016/j.fishres.2005.07.004","http://dx.doi.org/10.1016/j.fishres.2005.07.004")</f>
        <v>http://dx.doi.org/10.1016/j.fishres.2005.07.004</v>
      </c>
      <c r="BG370" t="s">
        <v>74</v>
      </c>
      <c r="BH370" t="s">
        <v>74</v>
      </c>
      <c r="BI370">
        <v>13</v>
      </c>
      <c r="BJ370" t="s">
        <v>225</v>
      </c>
      <c r="BK370" t="s">
        <v>98</v>
      </c>
      <c r="BL370" t="s">
        <v>225</v>
      </c>
      <c r="BM370" t="s">
        <v>6168</v>
      </c>
      <c r="BN370" t="s">
        <v>74</v>
      </c>
      <c r="BO370" t="s">
        <v>74</v>
      </c>
      <c r="BP370" t="s">
        <v>74</v>
      </c>
      <c r="BQ370" t="s">
        <v>74</v>
      </c>
      <c r="BR370" t="s">
        <v>101</v>
      </c>
      <c r="BS370" t="s">
        <v>6169</v>
      </c>
      <c r="BT370" t="str">
        <f>HYPERLINK("https%3A%2F%2Fwww.webofscience.com%2Fwos%2Fwoscc%2Ffull-record%2FWOS:000233001000010","View Full Record in Web of Science")</f>
        <v>View Full Record in Web of Science</v>
      </c>
    </row>
    <row r="371" spans="1:72" x14ac:dyDescent="0.15">
      <c r="A371" t="s">
        <v>72</v>
      </c>
      <c r="B371" t="s">
        <v>6170</v>
      </c>
      <c r="C371" t="s">
        <v>74</v>
      </c>
      <c r="D371" t="s">
        <v>74</v>
      </c>
      <c r="E371" t="s">
        <v>74</v>
      </c>
      <c r="F371" t="s">
        <v>6170</v>
      </c>
      <c r="G371" t="s">
        <v>74</v>
      </c>
      <c r="H371" t="s">
        <v>74</v>
      </c>
      <c r="I371" t="s">
        <v>6171</v>
      </c>
      <c r="J371" t="s">
        <v>1560</v>
      </c>
      <c r="K371" t="s">
        <v>74</v>
      </c>
      <c r="L371" t="s">
        <v>74</v>
      </c>
      <c r="M371" t="s">
        <v>77</v>
      </c>
      <c r="N371" t="s">
        <v>78</v>
      </c>
      <c r="O371" t="s">
        <v>74</v>
      </c>
      <c r="P371" t="s">
        <v>74</v>
      </c>
      <c r="Q371" t="s">
        <v>74</v>
      </c>
      <c r="R371" t="s">
        <v>74</v>
      </c>
      <c r="S371" t="s">
        <v>74</v>
      </c>
      <c r="T371" t="s">
        <v>6172</v>
      </c>
      <c r="U371" t="s">
        <v>6173</v>
      </c>
      <c r="V371" t="s">
        <v>6174</v>
      </c>
      <c r="W371" t="s">
        <v>6175</v>
      </c>
      <c r="X371" t="s">
        <v>6176</v>
      </c>
      <c r="Y371" t="s">
        <v>6177</v>
      </c>
      <c r="Z371" t="s">
        <v>74</v>
      </c>
      <c r="AA371" t="s">
        <v>6178</v>
      </c>
      <c r="AB371" t="s">
        <v>6179</v>
      </c>
      <c r="AC371" t="s">
        <v>74</v>
      </c>
      <c r="AD371" t="s">
        <v>74</v>
      </c>
      <c r="AE371" t="s">
        <v>74</v>
      </c>
      <c r="AF371" t="s">
        <v>74</v>
      </c>
      <c r="AG371">
        <v>31</v>
      </c>
      <c r="AH371">
        <v>40</v>
      </c>
      <c r="AI371">
        <v>40</v>
      </c>
      <c r="AJ371">
        <v>2</v>
      </c>
      <c r="AK371">
        <v>18</v>
      </c>
      <c r="AL371" t="s">
        <v>1569</v>
      </c>
      <c r="AM371" t="s">
        <v>605</v>
      </c>
      <c r="AN371" t="s">
        <v>1570</v>
      </c>
      <c r="AO371" t="s">
        <v>1571</v>
      </c>
      <c r="AP371" t="s">
        <v>1572</v>
      </c>
      <c r="AQ371" t="s">
        <v>74</v>
      </c>
      <c r="AR371" t="s">
        <v>1560</v>
      </c>
      <c r="AS371" t="s">
        <v>1130</v>
      </c>
      <c r="AT371" t="s">
        <v>5770</v>
      </c>
      <c r="AU371">
        <v>2005</v>
      </c>
      <c r="AV371">
        <v>33</v>
      </c>
      <c r="AW371">
        <v>12</v>
      </c>
      <c r="AX371" t="s">
        <v>74</v>
      </c>
      <c r="AY371" t="s">
        <v>74</v>
      </c>
      <c r="AZ371" t="s">
        <v>74</v>
      </c>
      <c r="BA371" t="s">
        <v>74</v>
      </c>
      <c r="BB371">
        <v>921</v>
      </c>
      <c r="BC371">
        <v>924</v>
      </c>
      <c r="BD371" t="s">
        <v>74</v>
      </c>
      <c r="BE371" t="s">
        <v>6180</v>
      </c>
      <c r="BF371" t="str">
        <f>HYPERLINK("http://dx.doi.org/10.1130/G21899.1","http://dx.doi.org/10.1130/G21899.1")</f>
        <v>http://dx.doi.org/10.1130/G21899.1</v>
      </c>
      <c r="BG371" t="s">
        <v>74</v>
      </c>
      <c r="BH371" t="s">
        <v>74</v>
      </c>
      <c r="BI371">
        <v>4</v>
      </c>
      <c r="BJ371" t="s">
        <v>1130</v>
      </c>
      <c r="BK371" t="s">
        <v>98</v>
      </c>
      <c r="BL371" t="s">
        <v>1130</v>
      </c>
      <c r="BM371" t="s">
        <v>6181</v>
      </c>
      <c r="BN371" t="s">
        <v>74</v>
      </c>
      <c r="BO371" t="s">
        <v>74</v>
      </c>
      <c r="BP371" t="s">
        <v>74</v>
      </c>
      <c r="BQ371" t="s">
        <v>74</v>
      </c>
      <c r="BR371" t="s">
        <v>101</v>
      </c>
      <c r="BS371" t="s">
        <v>6182</v>
      </c>
      <c r="BT371" t="str">
        <f>HYPERLINK("https%3A%2F%2Fwww.webofscience.com%2Fwos%2Fwoscc%2Ffull-record%2FWOS:000233849100001","View Full Record in Web of Science")</f>
        <v>View Full Record in Web of Science</v>
      </c>
    </row>
    <row r="372" spans="1:72" x14ac:dyDescent="0.15">
      <c r="A372" t="s">
        <v>72</v>
      </c>
      <c r="B372" t="s">
        <v>6183</v>
      </c>
      <c r="C372" t="s">
        <v>74</v>
      </c>
      <c r="D372" t="s">
        <v>74</v>
      </c>
      <c r="E372" t="s">
        <v>74</v>
      </c>
      <c r="F372" t="s">
        <v>6183</v>
      </c>
      <c r="G372" t="s">
        <v>74</v>
      </c>
      <c r="H372" t="s">
        <v>74</v>
      </c>
      <c r="I372" t="s">
        <v>6184</v>
      </c>
      <c r="J372" t="s">
        <v>6185</v>
      </c>
      <c r="K372" t="s">
        <v>74</v>
      </c>
      <c r="L372" t="s">
        <v>74</v>
      </c>
      <c r="M372" t="s">
        <v>77</v>
      </c>
      <c r="N372" t="s">
        <v>78</v>
      </c>
      <c r="O372" t="s">
        <v>74</v>
      </c>
      <c r="P372" t="s">
        <v>74</v>
      </c>
      <c r="Q372" t="s">
        <v>74</v>
      </c>
      <c r="R372" t="s">
        <v>74</v>
      </c>
      <c r="S372" t="s">
        <v>74</v>
      </c>
      <c r="T372" t="s">
        <v>6186</v>
      </c>
      <c r="U372" t="s">
        <v>6187</v>
      </c>
      <c r="V372" t="s">
        <v>6188</v>
      </c>
      <c r="W372" t="s">
        <v>6189</v>
      </c>
      <c r="X372" t="s">
        <v>6190</v>
      </c>
      <c r="Y372" t="s">
        <v>6191</v>
      </c>
      <c r="Z372" t="s">
        <v>6192</v>
      </c>
      <c r="AA372" t="s">
        <v>74</v>
      </c>
      <c r="AB372" t="s">
        <v>74</v>
      </c>
      <c r="AC372" t="s">
        <v>74</v>
      </c>
      <c r="AD372" t="s">
        <v>74</v>
      </c>
      <c r="AE372" t="s">
        <v>74</v>
      </c>
      <c r="AF372" t="s">
        <v>74</v>
      </c>
      <c r="AG372">
        <v>37</v>
      </c>
      <c r="AH372">
        <v>1</v>
      </c>
      <c r="AI372">
        <v>1</v>
      </c>
      <c r="AJ372">
        <v>1</v>
      </c>
      <c r="AK372">
        <v>5</v>
      </c>
      <c r="AL372" t="s">
        <v>6193</v>
      </c>
      <c r="AM372" t="s">
        <v>6194</v>
      </c>
      <c r="AN372" t="s">
        <v>6195</v>
      </c>
      <c r="AO372" t="s">
        <v>6196</v>
      </c>
      <c r="AP372" t="s">
        <v>74</v>
      </c>
      <c r="AQ372" t="s">
        <v>74</v>
      </c>
      <c r="AR372" t="s">
        <v>6197</v>
      </c>
      <c r="AS372" t="s">
        <v>6198</v>
      </c>
      <c r="AT372" t="s">
        <v>5770</v>
      </c>
      <c r="AU372">
        <v>2005</v>
      </c>
      <c r="AV372">
        <v>9</v>
      </c>
      <c r="AW372">
        <v>4</v>
      </c>
      <c r="AX372" t="s">
        <v>74</v>
      </c>
      <c r="AY372" t="s">
        <v>74</v>
      </c>
      <c r="AZ372" t="s">
        <v>74</v>
      </c>
      <c r="BA372" t="s">
        <v>74</v>
      </c>
      <c r="BB372">
        <v>325</v>
      </c>
      <c r="BC372">
        <v>330</v>
      </c>
      <c r="BD372" t="s">
        <v>74</v>
      </c>
      <c r="BE372" t="s">
        <v>6199</v>
      </c>
      <c r="BF372" t="str">
        <f>HYPERLINK("http://dx.doi.org/10.1007/BF02910320","http://dx.doi.org/10.1007/BF02910320")</f>
        <v>http://dx.doi.org/10.1007/BF02910320</v>
      </c>
      <c r="BG372" t="s">
        <v>74</v>
      </c>
      <c r="BH372" t="s">
        <v>74</v>
      </c>
      <c r="BI372">
        <v>6</v>
      </c>
      <c r="BJ372" t="s">
        <v>1129</v>
      </c>
      <c r="BK372" t="s">
        <v>98</v>
      </c>
      <c r="BL372" t="s">
        <v>1130</v>
      </c>
      <c r="BM372" t="s">
        <v>6200</v>
      </c>
      <c r="BN372" t="s">
        <v>74</v>
      </c>
      <c r="BO372" t="s">
        <v>74</v>
      </c>
      <c r="BP372" t="s">
        <v>74</v>
      </c>
      <c r="BQ372" t="s">
        <v>74</v>
      </c>
      <c r="BR372" t="s">
        <v>101</v>
      </c>
      <c r="BS372" t="s">
        <v>6201</v>
      </c>
      <c r="BT372" t="str">
        <f>HYPERLINK("https%3A%2F%2Fwww.webofscience.com%2Fwos%2Fwoscc%2Ffull-record%2FWOS:000234415400003","View Full Record in Web of Science")</f>
        <v>View Full Record in Web of Science</v>
      </c>
    </row>
    <row r="373" spans="1:72" x14ac:dyDescent="0.15">
      <c r="A373" t="s">
        <v>72</v>
      </c>
      <c r="B373" t="s">
        <v>6202</v>
      </c>
      <c r="C373" t="s">
        <v>74</v>
      </c>
      <c r="D373" t="s">
        <v>74</v>
      </c>
      <c r="E373" t="s">
        <v>74</v>
      </c>
      <c r="F373" t="s">
        <v>6202</v>
      </c>
      <c r="G373" t="s">
        <v>74</v>
      </c>
      <c r="H373" t="s">
        <v>74</v>
      </c>
      <c r="I373" t="s">
        <v>6203</v>
      </c>
      <c r="J373" t="s">
        <v>6204</v>
      </c>
      <c r="K373" t="s">
        <v>74</v>
      </c>
      <c r="L373" t="s">
        <v>74</v>
      </c>
      <c r="M373" t="s">
        <v>77</v>
      </c>
      <c r="N373" t="s">
        <v>289</v>
      </c>
      <c r="O373" t="s">
        <v>74</v>
      </c>
      <c r="P373" t="s">
        <v>74</v>
      </c>
      <c r="Q373" t="s">
        <v>74</v>
      </c>
      <c r="R373" t="s">
        <v>74</v>
      </c>
      <c r="S373" t="s">
        <v>74</v>
      </c>
      <c r="T373" t="s">
        <v>6205</v>
      </c>
      <c r="U373" t="s">
        <v>6206</v>
      </c>
      <c r="V373" t="s">
        <v>6207</v>
      </c>
      <c r="W373" t="s">
        <v>6208</v>
      </c>
      <c r="X373" t="s">
        <v>6209</v>
      </c>
      <c r="Y373" t="s">
        <v>6210</v>
      </c>
      <c r="Z373" t="s">
        <v>6211</v>
      </c>
      <c r="AA373" t="s">
        <v>6212</v>
      </c>
      <c r="AB373" t="s">
        <v>6213</v>
      </c>
      <c r="AC373" t="s">
        <v>74</v>
      </c>
      <c r="AD373" t="s">
        <v>74</v>
      </c>
      <c r="AE373" t="s">
        <v>74</v>
      </c>
      <c r="AF373" t="s">
        <v>74</v>
      </c>
      <c r="AG373">
        <v>117</v>
      </c>
      <c r="AH373">
        <v>22</v>
      </c>
      <c r="AI373">
        <v>25</v>
      </c>
      <c r="AJ373">
        <v>0</v>
      </c>
      <c r="AK373">
        <v>30</v>
      </c>
      <c r="AL373" t="s">
        <v>2025</v>
      </c>
      <c r="AM373" t="s">
        <v>2026</v>
      </c>
      <c r="AN373" t="s">
        <v>2027</v>
      </c>
      <c r="AO373" t="s">
        <v>6214</v>
      </c>
      <c r="AP373" t="s">
        <v>6215</v>
      </c>
      <c r="AQ373" t="s">
        <v>74</v>
      </c>
      <c r="AR373" t="s">
        <v>6216</v>
      </c>
      <c r="AS373" t="s">
        <v>6217</v>
      </c>
      <c r="AT373" t="s">
        <v>5770</v>
      </c>
      <c r="AU373">
        <v>2005</v>
      </c>
      <c r="AV373">
        <v>11</v>
      </c>
      <c r="AW373">
        <v>12</v>
      </c>
      <c r="AX373" t="s">
        <v>74</v>
      </c>
      <c r="AY373" t="s">
        <v>74</v>
      </c>
      <c r="AZ373" t="s">
        <v>74</v>
      </c>
      <c r="BA373" t="s">
        <v>74</v>
      </c>
      <c r="BB373">
        <v>2177</v>
      </c>
      <c r="BC373">
        <v>2195</v>
      </c>
      <c r="BD373" t="s">
        <v>74</v>
      </c>
      <c r="BE373" t="s">
        <v>6218</v>
      </c>
      <c r="BF373" t="str">
        <f>HYPERLINK("http://dx.doi.org/10.1111/j.1365-2486.2005.001068.x","http://dx.doi.org/10.1111/j.1365-2486.2005.001068.x")</f>
        <v>http://dx.doi.org/10.1111/j.1365-2486.2005.001068.x</v>
      </c>
      <c r="BG373" t="s">
        <v>74</v>
      </c>
      <c r="BH373" t="s">
        <v>74</v>
      </c>
      <c r="BI373">
        <v>19</v>
      </c>
      <c r="BJ373" t="s">
        <v>146</v>
      </c>
      <c r="BK373" t="s">
        <v>98</v>
      </c>
      <c r="BL373" t="s">
        <v>147</v>
      </c>
      <c r="BM373" t="s">
        <v>6219</v>
      </c>
      <c r="BN373">
        <v>34991284</v>
      </c>
      <c r="BO373" t="s">
        <v>74</v>
      </c>
      <c r="BP373" t="s">
        <v>74</v>
      </c>
      <c r="BQ373" t="s">
        <v>74</v>
      </c>
      <c r="BR373" t="s">
        <v>101</v>
      </c>
      <c r="BS373" t="s">
        <v>6220</v>
      </c>
      <c r="BT373" t="str">
        <f>HYPERLINK("https%3A%2F%2Fwww.webofscience.com%2Fwos%2Fwoscc%2Ffull-record%2FWOS:000234087300011","View Full Record in Web of Science")</f>
        <v>View Full Record in Web of Science</v>
      </c>
    </row>
    <row r="374" spans="1:72" x14ac:dyDescent="0.15">
      <c r="A374" t="s">
        <v>72</v>
      </c>
      <c r="B374" t="s">
        <v>6221</v>
      </c>
      <c r="C374" t="s">
        <v>74</v>
      </c>
      <c r="D374" t="s">
        <v>74</v>
      </c>
      <c r="E374" t="s">
        <v>74</v>
      </c>
      <c r="F374" t="s">
        <v>6221</v>
      </c>
      <c r="G374" t="s">
        <v>74</v>
      </c>
      <c r="H374" t="s">
        <v>74</v>
      </c>
      <c r="I374" t="s">
        <v>6222</v>
      </c>
      <c r="J374" t="s">
        <v>6223</v>
      </c>
      <c r="K374" t="s">
        <v>74</v>
      </c>
      <c r="L374" t="s">
        <v>74</v>
      </c>
      <c r="M374" t="s">
        <v>77</v>
      </c>
      <c r="N374" t="s">
        <v>52</v>
      </c>
      <c r="O374" t="s">
        <v>6224</v>
      </c>
      <c r="P374" t="s">
        <v>6225</v>
      </c>
      <c r="Q374" t="s">
        <v>1644</v>
      </c>
      <c r="R374" t="s">
        <v>74</v>
      </c>
      <c r="S374" t="s">
        <v>74</v>
      </c>
      <c r="T374" t="s">
        <v>74</v>
      </c>
      <c r="U374" t="s">
        <v>74</v>
      </c>
      <c r="V374" t="s">
        <v>74</v>
      </c>
      <c r="W374" t="s">
        <v>6226</v>
      </c>
      <c r="X374" t="s">
        <v>6227</v>
      </c>
      <c r="Y374" t="s">
        <v>74</v>
      </c>
      <c r="Z374" t="s">
        <v>6228</v>
      </c>
      <c r="AA374" t="s">
        <v>6229</v>
      </c>
      <c r="AB374" t="s">
        <v>6230</v>
      </c>
      <c r="AC374" t="s">
        <v>74</v>
      </c>
      <c r="AD374" t="s">
        <v>74</v>
      </c>
      <c r="AE374" t="s">
        <v>74</v>
      </c>
      <c r="AF374" t="s">
        <v>74</v>
      </c>
      <c r="AG374">
        <v>0</v>
      </c>
      <c r="AH374">
        <v>0</v>
      </c>
      <c r="AI374">
        <v>1</v>
      </c>
      <c r="AJ374">
        <v>0</v>
      </c>
      <c r="AK374">
        <v>0</v>
      </c>
      <c r="AL374" t="s">
        <v>6231</v>
      </c>
      <c r="AM374" t="s">
        <v>6232</v>
      </c>
      <c r="AN374" t="s">
        <v>6233</v>
      </c>
      <c r="AO374" t="s">
        <v>6234</v>
      </c>
      <c r="AP374" t="s">
        <v>6235</v>
      </c>
      <c r="AQ374" t="s">
        <v>74</v>
      </c>
      <c r="AR374" t="s">
        <v>6236</v>
      </c>
      <c r="AS374" t="s">
        <v>6237</v>
      </c>
      <c r="AT374" t="s">
        <v>5770</v>
      </c>
      <c r="AU374">
        <v>2005</v>
      </c>
      <c r="AV374">
        <v>45</v>
      </c>
      <c r="AW374">
        <v>6</v>
      </c>
      <c r="AX374" t="s">
        <v>74</v>
      </c>
      <c r="AY374" t="s">
        <v>74</v>
      </c>
      <c r="AZ374" t="s">
        <v>74</v>
      </c>
      <c r="BA374" t="s">
        <v>74</v>
      </c>
      <c r="BB374">
        <v>964</v>
      </c>
      <c r="BC374">
        <v>964</v>
      </c>
      <c r="BD374" t="s">
        <v>74</v>
      </c>
      <c r="BE374" t="s">
        <v>74</v>
      </c>
      <c r="BF374" t="s">
        <v>74</v>
      </c>
      <c r="BG374" t="s">
        <v>74</v>
      </c>
      <c r="BH374" t="s">
        <v>74</v>
      </c>
      <c r="BI374">
        <v>1</v>
      </c>
      <c r="BJ374" t="s">
        <v>532</v>
      </c>
      <c r="BK374" t="s">
        <v>1411</v>
      </c>
      <c r="BL374" t="s">
        <v>532</v>
      </c>
      <c r="BM374" t="s">
        <v>6238</v>
      </c>
      <c r="BN374" t="s">
        <v>74</v>
      </c>
      <c r="BO374" t="s">
        <v>74</v>
      </c>
      <c r="BP374" t="s">
        <v>74</v>
      </c>
      <c r="BQ374" t="s">
        <v>74</v>
      </c>
      <c r="BR374" t="s">
        <v>101</v>
      </c>
      <c r="BS374" t="s">
        <v>6239</v>
      </c>
      <c r="BT374" t="str">
        <f>HYPERLINK("https%3A%2F%2Fwww.webofscience.com%2Fwos%2Fwoscc%2Ffull-record%2FWOS:000235337600038","View Full Record in Web of Science")</f>
        <v>View Full Record in Web of Science</v>
      </c>
    </row>
    <row r="375" spans="1:72" x14ac:dyDescent="0.15">
      <c r="A375" t="s">
        <v>72</v>
      </c>
      <c r="B375" t="s">
        <v>6240</v>
      </c>
      <c r="C375" t="s">
        <v>74</v>
      </c>
      <c r="D375" t="s">
        <v>74</v>
      </c>
      <c r="E375" t="s">
        <v>74</v>
      </c>
      <c r="F375" t="s">
        <v>6240</v>
      </c>
      <c r="G375" t="s">
        <v>74</v>
      </c>
      <c r="H375" t="s">
        <v>74</v>
      </c>
      <c r="I375" t="s">
        <v>6241</v>
      </c>
      <c r="J375" t="s">
        <v>6223</v>
      </c>
      <c r="K375" t="s">
        <v>74</v>
      </c>
      <c r="L375" t="s">
        <v>74</v>
      </c>
      <c r="M375" t="s">
        <v>77</v>
      </c>
      <c r="N375" t="s">
        <v>52</v>
      </c>
      <c r="O375" t="s">
        <v>6224</v>
      </c>
      <c r="P375" t="s">
        <v>6225</v>
      </c>
      <c r="Q375" t="s">
        <v>1644</v>
      </c>
      <c r="R375" t="s">
        <v>74</v>
      </c>
      <c r="S375" t="s">
        <v>74</v>
      </c>
      <c r="T375" t="s">
        <v>74</v>
      </c>
      <c r="U375" t="s">
        <v>74</v>
      </c>
      <c r="V375" t="s">
        <v>74</v>
      </c>
      <c r="W375" t="s">
        <v>6242</v>
      </c>
      <c r="X375" t="s">
        <v>6243</v>
      </c>
      <c r="Y375" t="s">
        <v>74</v>
      </c>
      <c r="Z375" t="s">
        <v>6244</v>
      </c>
      <c r="AA375" t="s">
        <v>6245</v>
      </c>
      <c r="AB375" t="s">
        <v>74</v>
      </c>
      <c r="AC375" t="s">
        <v>74</v>
      </c>
      <c r="AD375" t="s">
        <v>74</v>
      </c>
      <c r="AE375" t="s">
        <v>74</v>
      </c>
      <c r="AF375" t="s">
        <v>74</v>
      </c>
      <c r="AG375">
        <v>0</v>
      </c>
      <c r="AH375">
        <v>0</v>
      </c>
      <c r="AI375">
        <v>0</v>
      </c>
      <c r="AJ375">
        <v>0</v>
      </c>
      <c r="AK375">
        <v>5</v>
      </c>
      <c r="AL375" t="s">
        <v>6231</v>
      </c>
      <c r="AM375" t="s">
        <v>6232</v>
      </c>
      <c r="AN375" t="s">
        <v>6233</v>
      </c>
      <c r="AO375" t="s">
        <v>6234</v>
      </c>
      <c r="AP375" t="s">
        <v>6235</v>
      </c>
      <c r="AQ375" t="s">
        <v>74</v>
      </c>
      <c r="AR375" t="s">
        <v>6236</v>
      </c>
      <c r="AS375" t="s">
        <v>6237</v>
      </c>
      <c r="AT375" t="s">
        <v>5770</v>
      </c>
      <c r="AU375">
        <v>2005</v>
      </c>
      <c r="AV375">
        <v>45</v>
      </c>
      <c r="AW375">
        <v>6</v>
      </c>
      <c r="AX375" t="s">
        <v>74</v>
      </c>
      <c r="AY375" t="s">
        <v>74</v>
      </c>
      <c r="AZ375" t="s">
        <v>74</v>
      </c>
      <c r="BA375" t="s">
        <v>74</v>
      </c>
      <c r="BB375">
        <v>1015</v>
      </c>
      <c r="BC375">
        <v>1015</v>
      </c>
      <c r="BD375" t="s">
        <v>74</v>
      </c>
      <c r="BE375" t="s">
        <v>74</v>
      </c>
      <c r="BF375" t="s">
        <v>74</v>
      </c>
      <c r="BG375" t="s">
        <v>74</v>
      </c>
      <c r="BH375" t="s">
        <v>74</v>
      </c>
      <c r="BI375">
        <v>1</v>
      </c>
      <c r="BJ375" t="s">
        <v>532</v>
      </c>
      <c r="BK375" t="s">
        <v>1411</v>
      </c>
      <c r="BL375" t="s">
        <v>532</v>
      </c>
      <c r="BM375" t="s">
        <v>6238</v>
      </c>
      <c r="BN375" t="s">
        <v>74</v>
      </c>
      <c r="BO375" t="s">
        <v>74</v>
      </c>
      <c r="BP375" t="s">
        <v>74</v>
      </c>
      <c r="BQ375" t="s">
        <v>74</v>
      </c>
      <c r="BR375" t="s">
        <v>101</v>
      </c>
      <c r="BS375" t="s">
        <v>6246</v>
      </c>
      <c r="BT375" t="str">
        <f>HYPERLINK("https%3A%2F%2Fwww.webofscience.com%2Fwos%2Fwoscc%2Ffull-record%2FWOS:000235337600245","View Full Record in Web of Science")</f>
        <v>View Full Record in Web of Science</v>
      </c>
    </row>
    <row r="376" spans="1:72" x14ac:dyDescent="0.15">
      <c r="A376" t="s">
        <v>72</v>
      </c>
      <c r="B376" t="s">
        <v>6247</v>
      </c>
      <c r="C376" t="s">
        <v>74</v>
      </c>
      <c r="D376" t="s">
        <v>74</v>
      </c>
      <c r="E376" t="s">
        <v>74</v>
      </c>
      <c r="F376" t="s">
        <v>6247</v>
      </c>
      <c r="G376" t="s">
        <v>74</v>
      </c>
      <c r="H376" t="s">
        <v>74</v>
      </c>
      <c r="I376" t="s">
        <v>6248</v>
      </c>
      <c r="J376" t="s">
        <v>6223</v>
      </c>
      <c r="K376" t="s">
        <v>74</v>
      </c>
      <c r="L376" t="s">
        <v>74</v>
      </c>
      <c r="M376" t="s">
        <v>77</v>
      </c>
      <c r="N376" t="s">
        <v>52</v>
      </c>
      <c r="O376" t="s">
        <v>6224</v>
      </c>
      <c r="P376" t="s">
        <v>6225</v>
      </c>
      <c r="Q376" t="s">
        <v>1644</v>
      </c>
      <c r="R376" t="s">
        <v>74</v>
      </c>
      <c r="S376" t="s">
        <v>74</v>
      </c>
      <c r="T376" t="s">
        <v>74</v>
      </c>
      <c r="U376" t="s">
        <v>74</v>
      </c>
      <c r="V376" t="s">
        <v>74</v>
      </c>
      <c r="W376" t="s">
        <v>6249</v>
      </c>
      <c r="X376" t="s">
        <v>6243</v>
      </c>
      <c r="Y376" t="s">
        <v>74</v>
      </c>
      <c r="Z376" t="s">
        <v>6250</v>
      </c>
      <c r="AA376" t="s">
        <v>6251</v>
      </c>
      <c r="AB376" t="s">
        <v>74</v>
      </c>
      <c r="AC376" t="s">
        <v>74</v>
      </c>
      <c r="AD376" t="s">
        <v>74</v>
      </c>
      <c r="AE376" t="s">
        <v>74</v>
      </c>
      <c r="AF376" t="s">
        <v>74</v>
      </c>
      <c r="AG376">
        <v>0</v>
      </c>
      <c r="AH376">
        <v>0</v>
      </c>
      <c r="AI376">
        <v>0</v>
      </c>
      <c r="AJ376">
        <v>0</v>
      </c>
      <c r="AK376">
        <v>1</v>
      </c>
      <c r="AL376" t="s">
        <v>6231</v>
      </c>
      <c r="AM376" t="s">
        <v>6232</v>
      </c>
      <c r="AN376" t="s">
        <v>6233</v>
      </c>
      <c r="AO376" t="s">
        <v>6234</v>
      </c>
      <c r="AP376" t="s">
        <v>74</v>
      </c>
      <c r="AQ376" t="s">
        <v>74</v>
      </c>
      <c r="AR376" t="s">
        <v>6236</v>
      </c>
      <c r="AS376" t="s">
        <v>6237</v>
      </c>
      <c r="AT376" t="s">
        <v>5770</v>
      </c>
      <c r="AU376">
        <v>2005</v>
      </c>
      <c r="AV376">
        <v>45</v>
      </c>
      <c r="AW376">
        <v>6</v>
      </c>
      <c r="AX376" t="s">
        <v>74</v>
      </c>
      <c r="AY376" t="s">
        <v>74</v>
      </c>
      <c r="AZ376" t="s">
        <v>74</v>
      </c>
      <c r="BA376" t="s">
        <v>74</v>
      </c>
      <c r="BB376">
        <v>1056</v>
      </c>
      <c r="BC376">
        <v>1056</v>
      </c>
      <c r="BD376" t="s">
        <v>74</v>
      </c>
      <c r="BE376" t="s">
        <v>74</v>
      </c>
      <c r="BF376" t="s">
        <v>74</v>
      </c>
      <c r="BG376" t="s">
        <v>74</v>
      </c>
      <c r="BH376" t="s">
        <v>74</v>
      </c>
      <c r="BI376">
        <v>1</v>
      </c>
      <c r="BJ376" t="s">
        <v>532</v>
      </c>
      <c r="BK376" t="s">
        <v>356</v>
      </c>
      <c r="BL376" t="s">
        <v>532</v>
      </c>
      <c r="BM376" t="s">
        <v>6238</v>
      </c>
      <c r="BN376" t="s">
        <v>74</v>
      </c>
      <c r="BO376" t="s">
        <v>74</v>
      </c>
      <c r="BP376" t="s">
        <v>74</v>
      </c>
      <c r="BQ376" t="s">
        <v>74</v>
      </c>
      <c r="BR376" t="s">
        <v>101</v>
      </c>
      <c r="BS376" t="s">
        <v>6252</v>
      </c>
      <c r="BT376" t="str">
        <f>HYPERLINK("https%3A%2F%2Fwww.webofscience.com%2Fwos%2Fwoscc%2Ffull-record%2FWOS:000235337600406","View Full Record in Web of Science")</f>
        <v>View Full Record in Web of Science</v>
      </c>
    </row>
    <row r="377" spans="1:72" x14ac:dyDescent="0.15">
      <c r="A377" t="s">
        <v>72</v>
      </c>
      <c r="B377" t="s">
        <v>6253</v>
      </c>
      <c r="C377" t="s">
        <v>74</v>
      </c>
      <c r="D377" t="s">
        <v>74</v>
      </c>
      <c r="E377" t="s">
        <v>74</v>
      </c>
      <c r="F377" t="s">
        <v>6253</v>
      </c>
      <c r="G377" t="s">
        <v>74</v>
      </c>
      <c r="H377" t="s">
        <v>74</v>
      </c>
      <c r="I377" t="s">
        <v>6254</v>
      </c>
      <c r="J377" t="s">
        <v>6223</v>
      </c>
      <c r="K377" t="s">
        <v>74</v>
      </c>
      <c r="L377" t="s">
        <v>74</v>
      </c>
      <c r="M377" t="s">
        <v>77</v>
      </c>
      <c r="N377" t="s">
        <v>52</v>
      </c>
      <c r="O377" t="s">
        <v>6224</v>
      </c>
      <c r="P377" t="s">
        <v>6225</v>
      </c>
      <c r="Q377" t="s">
        <v>1644</v>
      </c>
      <c r="R377" t="s">
        <v>74</v>
      </c>
      <c r="S377" t="s">
        <v>74</v>
      </c>
      <c r="T377" t="s">
        <v>74</v>
      </c>
      <c r="U377" t="s">
        <v>74</v>
      </c>
      <c r="V377" t="s">
        <v>74</v>
      </c>
      <c r="W377" t="s">
        <v>6255</v>
      </c>
      <c r="X377" t="s">
        <v>6256</v>
      </c>
      <c r="Y377" t="s">
        <v>74</v>
      </c>
      <c r="Z377" t="s">
        <v>2396</v>
      </c>
      <c r="AA377" t="s">
        <v>6257</v>
      </c>
      <c r="AB377" t="s">
        <v>74</v>
      </c>
      <c r="AC377" t="s">
        <v>74</v>
      </c>
      <c r="AD377" t="s">
        <v>74</v>
      </c>
      <c r="AE377" t="s">
        <v>74</v>
      </c>
      <c r="AF377" t="s">
        <v>74</v>
      </c>
      <c r="AG377">
        <v>0</v>
      </c>
      <c r="AH377">
        <v>0</v>
      </c>
      <c r="AI377">
        <v>0</v>
      </c>
      <c r="AJ377">
        <v>0</v>
      </c>
      <c r="AK377">
        <v>4</v>
      </c>
      <c r="AL377" t="s">
        <v>6231</v>
      </c>
      <c r="AM377" t="s">
        <v>6232</v>
      </c>
      <c r="AN377" t="s">
        <v>6233</v>
      </c>
      <c r="AO377" t="s">
        <v>6234</v>
      </c>
      <c r="AP377" t="s">
        <v>6235</v>
      </c>
      <c r="AQ377" t="s">
        <v>74</v>
      </c>
      <c r="AR377" t="s">
        <v>6236</v>
      </c>
      <c r="AS377" t="s">
        <v>6237</v>
      </c>
      <c r="AT377" t="s">
        <v>5770</v>
      </c>
      <c r="AU377">
        <v>2005</v>
      </c>
      <c r="AV377">
        <v>45</v>
      </c>
      <c r="AW377">
        <v>6</v>
      </c>
      <c r="AX377" t="s">
        <v>74</v>
      </c>
      <c r="AY377" t="s">
        <v>74</v>
      </c>
      <c r="AZ377" t="s">
        <v>74</v>
      </c>
      <c r="BA377" t="s">
        <v>74</v>
      </c>
      <c r="BB377">
        <v>1073</v>
      </c>
      <c r="BC377">
        <v>1073</v>
      </c>
      <c r="BD377" t="s">
        <v>74</v>
      </c>
      <c r="BE377" t="s">
        <v>74</v>
      </c>
      <c r="BF377" t="s">
        <v>74</v>
      </c>
      <c r="BG377" t="s">
        <v>74</v>
      </c>
      <c r="BH377" t="s">
        <v>74</v>
      </c>
      <c r="BI377">
        <v>1</v>
      </c>
      <c r="BJ377" t="s">
        <v>532</v>
      </c>
      <c r="BK377" t="s">
        <v>1411</v>
      </c>
      <c r="BL377" t="s">
        <v>532</v>
      </c>
      <c r="BM377" t="s">
        <v>6238</v>
      </c>
      <c r="BN377" t="s">
        <v>74</v>
      </c>
      <c r="BO377" t="s">
        <v>74</v>
      </c>
      <c r="BP377" t="s">
        <v>74</v>
      </c>
      <c r="BQ377" t="s">
        <v>74</v>
      </c>
      <c r="BR377" t="s">
        <v>101</v>
      </c>
      <c r="BS377" t="s">
        <v>6258</v>
      </c>
      <c r="BT377" t="str">
        <f>HYPERLINK("https%3A%2F%2Fwww.webofscience.com%2Fwos%2Fwoscc%2Ffull-record%2FWOS:000235337600476","View Full Record in Web of Science")</f>
        <v>View Full Record in Web of Science</v>
      </c>
    </row>
    <row r="378" spans="1:72" x14ac:dyDescent="0.15">
      <c r="A378" t="s">
        <v>72</v>
      </c>
      <c r="B378" t="s">
        <v>6259</v>
      </c>
      <c r="C378" t="s">
        <v>74</v>
      </c>
      <c r="D378" t="s">
        <v>74</v>
      </c>
      <c r="E378" t="s">
        <v>74</v>
      </c>
      <c r="F378" t="s">
        <v>6259</v>
      </c>
      <c r="G378" t="s">
        <v>74</v>
      </c>
      <c r="H378" t="s">
        <v>74</v>
      </c>
      <c r="I378" t="s">
        <v>6260</v>
      </c>
      <c r="J378" t="s">
        <v>6223</v>
      </c>
      <c r="K378" t="s">
        <v>74</v>
      </c>
      <c r="L378" t="s">
        <v>74</v>
      </c>
      <c r="M378" t="s">
        <v>77</v>
      </c>
      <c r="N378" t="s">
        <v>52</v>
      </c>
      <c r="O378" t="s">
        <v>6224</v>
      </c>
      <c r="P378" t="s">
        <v>6225</v>
      </c>
      <c r="Q378" t="s">
        <v>1644</v>
      </c>
      <c r="R378" t="s">
        <v>74</v>
      </c>
      <c r="S378" t="s">
        <v>74</v>
      </c>
      <c r="T378" t="s">
        <v>74</v>
      </c>
      <c r="U378" t="s">
        <v>74</v>
      </c>
      <c r="V378" t="s">
        <v>74</v>
      </c>
      <c r="W378" t="s">
        <v>6226</v>
      </c>
      <c r="X378" t="s">
        <v>6227</v>
      </c>
      <c r="Y378" t="s">
        <v>74</v>
      </c>
      <c r="Z378" t="s">
        <v>6261</v>
      </c>
      <c r="AA378" t="s">
        <v>6229</v>
      </c>
      <c r="AB378" t="s">
        <v>6230</v>
      </c>
      <c r="AC378" t="s">
        <v>74</v>
      </c>
      <c r="AD378" t="s">
        <v>74</v>
      </c>
      <c r="AE378" t="s">
        <v>74</v>
      </c>
      <c r="AF378" t="s">
        <v>74</v>
      </c>
      <c r="AG378">
        <v>0</v>
      </c>
      <c r="AH378">
        <v>0</v>
      </c>
      <c r="AI378">
        <v>0</v>
      </c>
      <c r="AJ378">
        <v>0</v>
      </c>
      <c r="AK378">
        <v>1</v>
      </c>
      <c r="AL378" t="s">
        <v>6231</v>
      </c>
      <c r="AM378" t="s">
        <v>6232</v>
      </c>
      <c r="AN378" t="s">
        <v>6233</v>
      </c>
      <c r="AO378" t="s">
        <v>6234</v>
      </c>
      <c r="AP378" t="s">
        <v>74</v>
      </c>
      <c r="AQ378" t="s">
        <v>74</v>
      </c>
      <c r="AR378" t="s">
        <v>6236</v>
      </c>
      <c r="AS378" t="s">
        <v>6237</v>
      </c>
      <c r="AT378" t="s">
        <v>5770</v>
      </c>
      <c r="AU378">
        <v>2005</v>
      </c>
      <c r="AV378">
        <v>45</v>
      </c>
      <c r="AW378">
        <v>6</v>
      </c>
      <c r="AX378" t="s">
        <v>74</v>
      </c>
      <c r="AY378" t="s">
        <v>74</v>
      </c>
      <c r="AZ378" t="s">
        <v>74</v>
      </c>
      <c r="BA378" t="s">
        <v>74</v>
      </c>
      <c r="BB378">
        <v>1098</v>
      </c>
      <c r="BC378">
        <v>1098</v>
      </c>
      <c r="BD378" t="s">
        <v>74</v>
      </c>
      <c r="BE378" t="s">
        <v>74</v>
      </c>
      <c r="BF378" t="s">
        <v>74</v>
      </c>
      <c r="BG378" t="s">
        <v>74</v>
      </c>
      <c r="BH378" t="s">
        <v>74</v>
      </c>
      <c r="BI378">
        <v>1</v>
      </c>
      <c r="BJ378" t="s">
        <v>532</v>
      </c>
      <c r="BK378" t="s">
        <v>356</v>
      </c>
      <c r="BL378" t="s">
        <v>532</v>
      </c>
      <c r="BM378" t="s">
        <v>6238</v>
      </c>
      <c r="BN378" t="s">
        <v>74</v>
      </c>
      <c r="BO378" t="s">
        <v>74</v>
      </c>
      <c r="BP378" t="s">
        <v>74</v>
      </c>
      <c r="BQ378" t="s">
        <v>74</v>
      </c>
      <c r="BR378" t="s">
        <v>101</v>
      </c>
      <c r="BS378" t="s">
        <v>6262</v>
      </c>
      <c r="BT378" t="str">
        <f>HYPERLINK("https%3A%2F%2Fwww.webofscience.com%2Fwos%2Fwoscc%2Ffull-record%2FWOS:000235337601054","View Full Record in Web of Science")</f>
        <v>View Full Record in Web of Science</v>
      </c>
    </row>
    <row r="379" spans="1:72" x14ac:dyDescent="0.15">
      <c r="A379" t="s">
        <v>72</v>
      </c>
      <c r="B379" t="s">
        <v>6263</v>
      </c>
      <c r="C379" t="s">
        <v>74</v>
      </c>
      <c r="D379" t="s">
        <v>74</v>
      </c>
      <c r="E379" t="s">
        <v>74</v>
      </c>
      <c r="F379" t="s">
        <v>6263</v>
      </c>
      <c r="G379" t="s">
        <v>74</v>
      </c>
      <c r="H379" t="s">
        <v>74</v>
      </c>
      <c r="I379" t="s">
        <v>6264</v>
      </c>
      <c r="J379" t="s">
        <v>6223</v>
      </c>
      <c r="K379" t="s">
        <v>74</v>
      </c>
      <c r="L379" t="s">
        <v>74</v>
      </c>
      <c r="M379" t="s">
        <v>77</v>
      </c>
      <c r="N379" t="s">
        <v>52</v>
      </c>
      <c r="O379" t="s">
        <v>6224</v>
      </c>
      <c r="P379" t="s">
        <v>6225</v>
      </c>
      <c r="Q379" t="s">
        <v>1644</v>
      </c>
      <c r="R379" t="s">
        <v>74</v>
      </c>
      <c r="S379" t="s">
        <v>74</v>
      </c>
      <c r="T379" t="s">
        <v>74</v>
      </c>
      <c r="U379" t="s">
        <v>74</v>
      </c>
      <c r="V379" t="s">
        <v>74</v>
      </c>
      <c r="W379" t="s">
        <v>6226</v>
      </c>
      <c r="X379" t="s">
        <v>6227</v>
      </c>
      <c r="Y379" t="s">
        <v>74</v>
      </c>
      <c r="Z379" t="s">
        <v>6265</v>
      </c>
      <c r="AA379" t="s">
        <v>6229</v>
      </c>
      <c r="AB379" t="s">
        <v>6230</v>
      </c>
      <c r="AC379" t="s">
        <v>74</v>
      </c>
      <c r="AD379" t="s">
        <v>74</v>
      </c>
      <c r="AE379" t="s">
        <v>74</v>
      </c>
      <c r="AF379" t="s">
        <v>74</v>
      </c>
      <c r="AG379">
        <v>0</v>
      </c>
      <c r="AH379">
        <v>1</v>
      </c>
      <c r="AI379">
        <v>1</v>
      </c>
      <c r="AJ379">
        <v>0</v>
      </c>
      <c r="AK379">
        <v>0</v>
      </c>
      <c r="AL379" t="s">
        <v>6231</v>
      </c>
      <c r="AM379" t="s">
        <v>6232</v>
      </c>
      <c r="AN379" t="s">
        <v>6233</v>
      </c>
      <c r="AO379" t="s">
        <v>6234</v>
      </c>
      <c r="AP379" t="s">
        <v>74</v>
      </c>
      <c r="AQ379" t="s">
        <v>74</v>
      </c>
      <c r="AR379" t="s">
        <v>6236</v>
      </c>
      <c r="AS379" t="s">
        <v>6237</v>
      </c>
      <c r="AT379" t="s">
        <v>5770</v>
      </c>
      <c r="AU379">
        <v>2005</v>
      </c>
      <c r="AV379">
        <v>45</v>
      </c>
      <c r="AW379">
        <v>6</v>
      </c>
      <c r="AX379" t="s">
        <v>74</v>
      </c>
      <c r="AY379" t="s">
        <v>74</v>
      </c>
      <c r="AZ379" t="s">
        <v>74</v>
      </c>
      <c r="BA379" t="s">
        <v>74</v>
      </c>
      <c r="BB379">
        <v>1122</v>
      </c>
      <c r="BC379">
        <v>1122</v>
      </c>
      <c r="BD379" t="s">
        <v>74</v>
      </c>
      <c r="BE379" t="s">
        <v>74</v>
      </c>
      <c r="BF379" t="s">
        <v>74</v>
      </c>
      <c r="BG379" t="s">
        <v>74</v>
      </c>
      <c r="BH379" t="s">
        <v>74</v>
      </c>
      <c r="BI379">
        <v>1</v>
      </c>
      <c r="BJ379" t="s">
        <v>532</v>
      </c>
      <c r="BK379" t="s">
        <v>356</v>
      </c>
      <c r="BL379" t="s">
        <v>532</v>
      </c>
      <c r="BM379" t="s">
        <v>6238</v>
      </c>
      <c r="BN379" t="s">
        <v>74</v>
      </c>
      <c r="BO379" t="s">
        <v>74</v>
      </c>
      <c r="BP379" t="s">
        <v>74</v>
      </c>
      <c r="BQ379" t="s">
        <v>74</v>
      </c>
      <c r="BR379" t="s">
        <v>101</v>
      </c>
      <c r="BS379" t="s">
        <v>6266</v>
      </c>
      <c r="BT379" t="str">
        <f>HYPERLINK("https%3A%2F%2Fwww.webofscience.com%2Fwos%2Fwoscc%2Ffull-record%2FWOS:000235337601146","View Full Record in Web of Science")</f>
        <v>View Full Record in Web of Science</v>
      </c>
    </row>
    <row r="380" spans="1:72" x14ac:dyDescent="0.15">
      <c r="A380" t="s">
        <v>72</v>
      </c>
      <c r="B380" t="s">
        <v>6267</v>
      </c>
      <c r="C380" t="s">
        <v>74</v>
      </c>
      <c r="D380" t="s">
        <v>74</v>
      </c>
      <c r="E380" t="s">
        <v>74</v>
      </c>
      <c r="F380" t="s">
        <v>6267</v>
      </c>
      <c r="G380" t="s">
        <v>74</v>
      </c>
      <c r="H380" t="s">
        <v>74</v>
      </c>
      <c r="I380" t="s">
        <v>6268</v>
      </c>
      <c r="J380" t="s">
        <v>6223</v>
      </c>
      <c r="K380" t="s">
        <v>74</v>
      </c>
      <c r="L380" t="s">
        <v>74</v>
      </c>
      <c r="M380" t="s">
        <v>77</v>
      </c>
      <c r="N380" t="s">
        <v>52</v>
      </c>
      <c r="O380" t="s">
        <v>6224</v>
      </c>
      <c r="P380" t="s">
        <v>6225</v>
      </c>
      <c r="Q380" t="s">
        <v>1644</v>
      </c>
      <c r="R380" t="s">
        <v>74</v>
      </c>
      <c r="S380" t="s">
        <v>74</v>
      </c>
      <c r="T380" t="s">
        <v>74</v>
      </c>
      <c r="U380" t="s">
        <v>74</v>
      </c>
      <c r="V380" t="s">
        <v>74</v>
      </c>
      <c r="W380" t="s">
        <v>6269</v>
      </c>
      <c r="X380" t="s">
        <v>5651</v>
      </c>
      <c r="Y380" t="s">
        <v>74</v>
      </c>
      <c r="Z380" t="s">
        <v>6270</v>
      </c>
      <c r="AA380" t="s">
        <v>74</v>
      </c>
      <c r="AB380" t="s">
        <v>74</v>
      </c>
      <c r="AC380" t="s">
        <v>74</v>
      </c>
      <c r="AD380" t="s">
        <v>74</v>
      </c>
      <c r="AE380" t="s">
        <v>74</v>
      </c>
      <c r="AF380" t="s">
        <v>74</v>
      </c>
      <c r="AG380">
        <v>0</v>
      </c>
      <c r="AH380">
        <v>1</v>
      </c>
      <c r="AI380">
        <v>1</v>
      </c>
      <c r="AJ380">
        <v>1</v>
      </c>
      <c r="AK380">
        <v>5</v>
      </c>
      <c r="AL380" t="s">
        <v>6231</v>
      </c>
      <c r="AM380" t="s">
        <v>6232</v>
      </c>
      <c r="AN380" t="s">
        <v>6233</v>
      </c>
      <c r="AO380" t="s">
        <v>6234</v>
      </c>
      <c r="AP380" t="s">
        <v>74</v>
      </c>
      <c r="AQ380" t="s">
        <v>74</v>
      </c>
      <c r="AR380" t="s">
        <v>6236</v>
      </c>
      <c r="AS380" t="s">
        <v>6237</v>
      </c>
      <c r="AT380" t="s">
        <v>5770</v>
      </c>
      <c r="AU380">
        <v>2005</v>
      </c>
      <c r="AV380">
        <v>45</v>
      </c>
      <c r="AW380">
        <v>6</v>
      </c>
      <c r="AX380" t="s">
        <v>74</v>
      </c>
      <c r="AY380" t="s">
        <v>74</v>
      </c>
      <c r="AZ380" t="s">
        <v>74</v>
      </c>
      <c r="BA380" t="s">
        <v>74</v>
      </c>
      <c r="BB380">
        <v>1153</v>
      </c>
      <c r="BC380">
        <v>1153</v>
      </c>
      <c r="BD380" t="s">
        <v>74</v>
      </c>
      <c r="BE380" t="s">
        <v>74</v>
      </c>
      <c r="BF380" t="s">
        <v>74</v>
      </c>
      <c r="BG380" t="s">
        <v>74</v>
      </c>
      <c r="BH380" t="s">
        <v>74</v>
      </c>
      <c r="BI380">
        <v>1</v>
      </c>
      <c r="BJ380" t="s">
        <v>532</v>
      </c>
      <c r="BK380" t="s">
        <v>356</v>
      </c>
      <c r="BL380" t="s">
        <v>532</v>
      </c>
      <c r="BM380" t="s">
        <v>6238</v>
      </c>
      <c r="BN380" t="s">
        <v>74</v>
      </c>
      <c r="BO380" t="s">
        <v>74</v>
      </c>
      <c r="BP380" t="s">
        <v>74</v>
      </c>
      <c r="BQ380" t="s">
        <v>74</v>
      </c>
      <c r="BR380" t="s">
        <v>101</v>
      </c>
      <c r="BS380" t="s">
        <v>6271</v>
      </c>
      <c r="BT380" t="str">
        <f>HYPERLINK("https%3A%2F%2Fwww.webofscience.com%2Fwos%2Fwoscc%2Ffull-record%2FWOS:000235337601270","View Full Record in Web of Science")</f>
        <v>View Full Record in Web of Science</v>
      </c>
    </row>
    <row r="381" spans="1:72" x14ac:dyDescent="0.15">
      <c r="A381" t="s">
        <v>72</v>
      </c>
      <c r="B381" t="s">
        <v>6272</v>
      </c>
      <c r="C381" t="s">
        <v>74</v>
      </c>
      <c r="D381" t="s">
        <v>74</v>
      </c>
      <c r="E381" t="s">
        <v>74</v>
      </c>
      <c r="F381" t="s">
        <v>6272</v>
      </c>
      <c r="G381" t="s">
        <v>74</v>
      </c>
      <c r="H381" t="s">
        <v>74</v>
      </c>
      <c r="I381" t="s">
        <v>6273</v>
      </c>
      <c r="J381" t="s">
        <v>6223</v>
      </c>
      <c r="K381" t="s">
        <v>74</v>
      </c>
      <c r="L381" t="s">
        <v>74</v>
      </c>
      <c r="M381" t="s">
        <v>77</v>
      </c>
      <c r="N381" t="s">
        <v>52</v>
      </c>
      <c r="O381" t="s">
        <v>6224</v>
      </c>
      <c r="P381" t="s">
        <v>6225</v>
      </c>
      <c r="Q381" t="s">
        <v>1644</v>
      </c>
      <c r="R381" t="s">
        <v>74</v>
      </c>
      <c r="S381" t="s">
        <v>74</v>
      </c>
      <c r="T381" t="s">
        <v>74</v>
      </c>
      <c r="U381" t="s">
        <v>74</v>
      </c>
      <c r="V381" t="s">
        <v>74</v>
      </c>
      <c r="W381" t="s">
        <v>6274</v>
      </c>
      <c r="X381" t="s">
        <v>6275</v>
      </c>
      <c r="Y381" t="s">
        <v>74</v>
      </c>
      <c r="Z381" t="s">
        <v>6276</v>
      </c>
      <c r="AA381" t="s">
        <v>74</v>
      </c>
      <c r="AB381" t="s">
        <v>74</v>
      </c>
      <c r="AC381" t="s">
        <v>74</v>
      </c>
      <c r="AD381" t="s">
        <v>74</v>
      </c>
      <c r="AE381" t="s">
        <v>74</v>
      </c>
      <c r="AF381" t="s">
        <v>74</v>
      </c>
      <c r="AG381">
        <v>0</v>
      </c>
      <c r="AH381">
        <v>1</v>
      </c>
      <c r="AI381">
        <v>1</v>
      </c>
      <c r="AJ381">
        <v>0</v>
      </c>
      <c r="AK381">
        <v>3</v>
      </c>
      <c r="AL381" t="s">
        <v>6231</v>
      </c>
      <c r="AM381" t="s">
        <v>6232</v>
      </c>
      <c r="AN381" t="s">
        <v>6233</v>
      </c>
      <c r="AO381" t="s">
        <v>6234</v>
      </c>
      <c r="AP381" t="s">
        <v>74</v>
      </c>
      <c r="AQ381" t="s">
        <v>74</v>
      </c>
      <c r="AR381" t="s">
        <v>6236</v>
      </c>
      <c r="AS381" t="s">
        <v>6237</v>
      </c>
      <c r="AT381" t="s">
        <v>5770</v>
      </c>
      <c r="AU381">
        <v>2005</v>
      </c>
      <c r="AV381">
        <v>45</v>
      </c>
      <c r="AW381">
        <v>6</v>
      </c>
      <c r="AX381" t="s">
        <v>74</v>
      </c>
      <c r="AY381" t="s">
        <v>74</v>
      </c>
      <c r="AZ381" t="s">
        <v>74</v>
      </c>
      <c r="BA381" t="s">
        <v>74</v>
      </c>
      <c r="BB381">
        <v>1172</v>
      </c>
      <c r="BC381">
        <v>1172</v>
      </c>
      <c r="BD381" t="s">
        <v>74</v>
      </c>
      <c r="BE381" t="s">
        <v>74</v>
      </c>
      <c r="BF381" t="s">
        <v>74</v>
      </c>
      <c r="BG381" t="s">
        <v>74</v>
      </c>
      <c r="BH381" t="s">
        <v>74</v>
      </c>
      <c r="BI381">
        <v>1</v>
      </c>
      <c r="BJ381" t="s">
        <v>532</v>
      </c>
      <c r="BK381" t="s">
        <v>356</v>
      </c>
      <c r="BL381" t="s">
        <v>532</v>
      </c>
      <c r="BM381" t="s">
        <v>6238</v>
      </c>
      <c r="BN381" t="s">
        <v>74</v>
      </c>
      <c r="BO381" t="s">
        <v>74</v>
      </c>
      <c r="BP381" t="s">
        <v>74</v>
      </c>
      <c r="BQ381" t="s">
        <v>74</v>
      </c>
      <c r="BR381" t="s">
        <v>101</v>
      </c>
      <c r="BS381" t="s">
        <v>6277</v>
      </c>
      <c r="BT381" t="str">
        <f>HYPERLINK("https%3A%2F%2Fwww.webofscience.com%2Fwos%2Fwoscc%2Ffull-record%2FWOS:000235337601346","View Full Record in Web of Science")</f>
        <v>View Full Record in Web of Science</v>
      </c>
    </row>
    <row r="382" spans="1:72" x14ac:dyDescent="0.15">
      <c r="A382" t="s">
        <v>72</v>
      </c>
      <c r="B382" t="s">
        <v>6278</v>
      </c>
      <c r="C382" t="s">
        <v>74</v>
      </c>
      <c r="D382" t="s">
        <v>74</v>
      </c>
      <c r="E382" t="s">
        <v>74</v>
      </c>
      <c r="F382" t="s">
        <v>6279</v>
      </c>
      <c r="G382" t="s">
        <v>74</v>
      </c>
      <c r="H382" t="s">
        <v>74</v>
      </c>
      <c r="I382" t="s">
        <v>6280</v>
      </c>
      <c r="J382" t="s">
        <v>6281</v>
      </c>
      <c r="K382" t="s">
        <v>74</v>
      </c>
      <c r="L382" t="s">
        <v>74</v>
      </c>
      <c r="M382" t="s">
        <v>77</v>
      </c>
      <c r="N382" t="s">
        <v>4570</v>
      </c>
      <c r="O382" t="s">
        <v>74</v>
      </c>
      <c r="P382" t="s">
        <v>74</v>
      </c>
      <c r="Q382" t="s">
        <v>74</v>
      </c>
      <c r="R382" t="s">
        <v>74</v>
      </c>
      <c r="S382" t="s">
        <v>74</v>
      </c>
      <c r="T382" t="s">
        <v>74</v>
      </c>
      <c r="U382" t="s">
        <v>74</v>
      </c>
      <c r="V382" t="s">
        <v>74</v>
      </c>
      <c r="W382" t="s">
        <v>6282</v>
      </c>
      <c r="X382" t="s">
        <v>6283</v>
      </c>
      <c r="Y382" t="s">
        <v>6284</v>
      </c>
      <c r="Z382" t="s">
        <v>74</v>
      </c>
      <c r="AA382" t="s">
        <v>74</v>
      </c>
      <c r="AB382" t="s">
        <v>74</v>
      </c>
      <c r="AC382" t="s">
        <v>74</v>
      </c>
      <c r="AD382" t="s">
        <v>74</v>
      </c>
      <c r="AE382" t="s">
        <v>74</v>
      </c>
      <c r="AF382" t="s">
        <v>74</v>
      </c>
      <c r="AG382">
        <v>1</v>
      </c>
      <c r="AH382">
        <v>0</v>
      </c>
      <c r="AI382">
        <v>0</v>
      </c>
      <c r="AJ382">
        <v>0</v>
      </c>
      <c r="AK382">
        <v>0</v>
      </c>
      <c r="AL382" t="s">
        <v>6285</v>
      </c>
      <c r="AM382" t="s">
        <v>1055</v>
      </c>
      <c r="AN382" t="s">
        <v>6286</v>
      </c>
      <c r="AO382" t="s">
        <v>6287</v>
      </c>
      <c r="AP382" t="s">
        <v>6288</v>
      </c>
      <c r="AQ382" t="s">
        <v>74</v>
      </c>
      <c r="AR382" t="s">
        <v>6289</v>
      </c>
      <c r="AS382" t="s">
        <v>6290</v>
      </c>
      <c r="AT382" t="s">
        <v>5770</v>
      </c>
      <c r="AU382">
        <v>2005</v>
      </c>
      <c r="AV382">
        <v>17</v>
      </c>
      <c r="AW382">
        <v>2</v>
      </c>
      <c r="AX382" t="s">
        <v>74</v>
      </c>
      <c r="AY382" t="s">
        <v>74</v>
      </c>
      <c r="AZ382" t="s">
        <v>74</v>
      </c>
      <c r="BA382" t="s">
        <v>74</v>
      </c>
      <c r="BB382">
        <v>419</v>
      </c>
      <c r="BC382">
        <v>420</v>
      </c>
      <c r="BD382" t="s">
        <v>74</v>
      </c>
      <c r="BE382" t="s">
        <v>6291</v>
      </c>
      <c r="BF382" t="str">
        <f>HYPERLINK("http://dx.doi.org/10.1177/084387140501700253","http://dx.doi.org/10.1177/084387140501700253")</f>
        <v>http://dx.doi.org/10.1177/084387140501700253</v>
      </c>
      <c r="BG382" t="s">
        <v>74</v>
      </c>
      <c r="BH382" t="s">
        <v>74</v>
      </c>
      <c r="BI382">
        <v>2</v>
      </c>
      <c r="BJ382" t="s">
        <v>4578</v>
      </c>
      <c r="BK382" t="s">
        <v>1219</v>
      </c>
      <c r="BL382" t="s">
        <v>4578</v>
      </c>
      <c r="BM382" t="s">
        <v>6292</v>
      </c>
      <c r="BN382" t="s">
        <v>74</v>
      </c>
      <c r="BO382" t="s">
        <v>74</v>
      </c>
      <c r="BP382" t="s">
        <v>74</v>
      </c>
      <c r="BQ382" t="s">
        <v>74</v>
      </c>
      <c r="BR382" t="s">
        <v>101</v>
      </c>
      <c r="BS382" t="s">
        <v>6293</v>
      </c>
      <c r="BT382" t="str">
        <f>HYPERLINK("https%3A%2F%2Fwww.webofscience.com%2Fwos%2Fwoscc%2Ffull-record%2FWOS:000210602600060","View Full Record in Web of Science")</f>
        <v>View Full Record in Web of Science</v>
      </c>
    </row>
    <row r="383" spans="1:72" x14ac:dyDescent="0.15">
      <c r="A383" t="s">
        <v>72</v>
      </c>
      <c r="B383" t="s">
        <v>6294</v>
      </c>
      <c r="C383" t="s">
        <v>74</v>
      </c>
      <c r="D383" t="s">
        <v>74</v>
      </c>
      <c r="E383" t="s">
        <v>74</v>
      </c>
      <c r="F383" t="s">
        <v>6294</v>
      </c>
      <c r="G383" t="s">
        <v>74</v>
      </c>
      <c r="H383" t="s">
        <v>74</v>
      </c>
      <c r="I383" t="s">
        <v>6295</v>
      </c>
      <c r="J383" t="s">
        <v>6296</v>
      </c>
      <c r="K383" t="s">
        <v>74</v>
      </c>
      <c r="L383" t="s">
        <v>74</v>
      </c>
      <c r="M383" t="s">
        <v>77</v>
      </c>
      <c r="N383" t="s">
        <v>78</v>
      </c>
      <c r="O383" t="s">
        <v>74</v>
      </c>
      <c r="P383" t="s">
        <v>74</v>
      </c>
      <c r="Q383" t="s">
        <v>74</v>
      </c>
      <c r="R383" t="s">
        <v>74</v>
      </c>
      <c r="S383" t="s">
        <v>74</v>
      </c>
      <c r="T383" t="s">
        <v>74</v>
      </c>
      <c r="U383" t="s">
        <v>6297</v>
      </c>
      <c r="V383" t="s">
        <v>6298</v>
      </c>
      <c r="W383" t="s">
        <v>6299</v>
      </c>
      <c r="X383" t="s">
        <v>6300</v>
      </c>
      <c r="Y383" t="s">
        <v>5546</v>
      </c>
      <c r="Z383" t="s">
        <v>6301</v>
      </c>
      <c r="AA383" t="s">
        <v>6302</v>
      </c>
      <c r="AB383" t="s">
        <v>6303</v>
      </c>
      <c r="AC383" t="s">
        <v>74</v>
      </c>
      <c r="AD383" t="s">
        <v>74</v>
      </c>
      <c r="AE383" t="s">
        <v>74</v>
      </c>
      <c r="AF383" t="s">
        <v>74</v>
      </c>
      <c r="AG383">
        <v>52</v>
      </c>
      <c r="AH383">
        <v>60</v>
      </c>
      <c r="AI383">
        <v>64</v>
      </c>
      <c r="AJ383">
        <v>0</v>
      </c>
      <c r="AK383">
        <v>37</v>
      </c>
      <c r="AL383" t="s">
        <v>4608</v>
      </c>
      <c r="AM383" t="s">
        <v>349</v>
      </c>
      <c r="AN383" t="s">
        <v>4609</v>
      </c>
      <c r="AO383" t="s">
        <v>6304</v>
      </c>
      <c r="AP383" t="s">
        <v>6305</v>
      </c>
      <c r="AQ383" t="s">
        <v>74</v>
      </c>
      <c r="AR383" t="s">
        <v>6306</v>
      </c>
      <c r="AS383" t="s">
        <v>6307</v>
      </c>
      <c r="AT383" t="s">
        <v>5770</v>
      </c>
      <c r="AU383">
        <v>2005</v>
      </c>
      <c r="AV383">
        <v>21</v>
      </c>
      <c r="AW383">
        <v>4</v>
      </c>
      <c r="AX383" t="s">
        <v>74</v>
      </c>
      <c r="AY383" t="s">
        <v>74</v>
      </c>
      <c r="AZ383" t="s">
        <v>74</v>
      </c>
      <c r="BA383" t="s">
        <v>74</v>
      </c>
      <c r="BB383">
        <v>577</v>
      </c>
      <c r="BC383">
        <v>591</v>
      </c>
      <c r="BD383" t="s">
        <v>74</v>
      </c>
      <c r="BE383" t="s">
        <v>6308</v>
      </c>
      <c r="BF383" t="str">
        <f>HYPERLINK("http://dx.doi.org/10.1080/07900620500258380","http://dx.doi.org/10.1080/07900620500258380")</f>
        <v>http://dx.doi.org/10.1080/07900620500258380</v>
      </c>
      <c r="BG383" t="s">
        <v>74</v>
      </c>
      <c r="BH383" t="s">
        <v>74</v>
      </c>
      <c r="BI383">
        <v>15</v>
      </c>
      <c r="BJ383" t="s">
        <v>6309</v>
      </c>
      <c r="BK383" t="s">
        <v>98</v>
      </c>
      <c r="BL383" t="s">
        <v>6309</v>
      </c>
      <c r="BM383" t="s">
        <v>6310</v>
      </c>
      <c r="BN383" t="s">
        <v>74</v>
      </c>
      <c r="BO383" t="s">
        <v>74</v>
      </c>
      <c r="BP383" t="s">
        <v>74</v>
      </c>
      <c r="BQ383" t="s">
        <v>74</v>
      </c>
      <c r="BR383" t="s">
        <v>101</v>
      </c>
      <c r="BS383" t="s">
        <v>6311</v>
      </c>
      <c r="BT383" t="str">
        <f>HYPERLINK("https%3A%2F%2Fwww.webofscience.com%2Fwos%2Fwoscc%2Ffull-record%2FWOS:000233688100004","View Full Record in Web of Science")</f>
        <v>View Full Record in Web of Science</v>
      </c>
    </row>
    <row r="384" spans="1:72" x14ac:dyDescent="0.15">
      <c r="A384" t="s">
        <v>72</v>
      </c>
      <c r="B384" t="s">
        <v>6312</v>
      </c>
      <c r="C384" t="s">
        <v>74</v>
      </c>
      <c r="D384" t="s">
        <v>74</v>
      </c>
      <c r="E384" t="s">
        <v>74</v>
      </c>
      <c r="F384" t="s">
        <v>6312</v>
      </c>
      <c r="G384" t="s">
        <v>74</v>
      </c>
      <c r="H384" t="s">
        <v>74</v>
      </c>
      <c r="I384" t="s">
        <v>6313</v>
      </c>
      <c r="J384" t="s">
        <v>2123</v>
      </c>
      <c r="K384" t="s">
        <v>74</v>
      </c>
      <c r="L384" t="s">
        <v>74</v>
      </c>
      <c r="M384" t="s">
        <v>77</v>
      </c>
      <c r="N384" t="s">
        <v>335</v>
      </c>
      <c r="O384" t="s">
        <v>6314</v>
      </c>
      <c r="P384" t="s">
        <v>6315</v>
      </c>
      <c r="Q384" t="s">
        <v>6316</v>
      </c>
      <c r="R384" t="s">
        <v>74</v>
      </c>
      <c r="S384" t="s">
        <v>74</v>
      </c>
      <c r="T384" t="s">
        <v>6317</v>
      </c>
      <c r="U384" t="s">
        <v>6318</v>
      </c>
      <c r="V384" t="s">
        <v>6319</v>
      </c>
      <c r="W384" t="s">
        <v>6320</v>
      </c>
      <c r="X384" t="s">
        <v>6321</v>
      </c>
      <c r="Y384" t="s">
        <v>6322</v>
      </c>
      <c r="Z384" t="s">
        <v>6323</v>
      </c>
      <c r="AA384" t="s">
        <v>6324</v>
      </c>
      <c r="AB384" t="s">
        <v>6325</v>
      </c>
      <c r="AC384" t="s">
        <v>74</v>
      </c>
      <c r="AD384" t="s">
        <v>74</v>
      </c>
      <c r="AE384" t="s">
        <v>74</v>
      </c>
      <c r="AF384" t="s">
        <v>74</v>
      </c>
      <c r="AG384">
        <v>22</v>
      </c>
      <c r="AH384">
        <v>15</v>
      </c>
      <c r="AI384">
        <v>17</v>
      </c>
      <c r="AJ384">
        <v>0</v>
      </c>
      <c r="AK384">
        <v>1</v>
      </c>
      <c r="AL384" t="s">
        <v>622</v>
      </c>
      <c r="AM384" t="s">
        <v>140</v>
      </c>
      <c r="AN384" t="s">
        <v>623</v>
      </c>
      <c r="AO384" t="s">
        <v>2137</v>
      </c>
      <c r="AP384" t="s">
        <v>2138</v>
      </c>
      <c r="AQ384" t="s">
        <v>74</v>
      </c>
      <c r="AR384" t="s">
        <v>2139</v>
      </c>
      <c r="AS384" t="s">
        <v>2140</v>
      </c>
      <c r="AT384" t="s">
        <v>5770</v>
      </c>
      <c r="AU384">
        <v>2005</v>
      </c>
      <c r="AV384">
        <v>67</v>
      </c>
      <c r="AW384" t="s">
        <v>6326</v>
      </c>
      <c r="AX384" t="s">
        <v>74</v>
      </c>
      <c r="AY384" t="s">
        <v>74</v>
      </c>
      <c r="AZ384" t="s">
        <v>74</v>
      </c>
      <c r="BA384" t="s">
        <v>74</v>
      </c>
      <c r="BB384">
        <v>1658</v>
      </c>
      <c r="BC384">
        <v>1664</v>
      </c>
      <c r="BD384" t="s">
        <v>74</v>
      </c>
      <c r="BE384" t="s">
        <v>6327</v>
      </c>
      <c r="BF384" t="str">
        <f>HYPERLINK("http://dx.doi.org/10.1016/j.jastp.2005.02.027","http://dx.doi.org/10.1016/j.jastp.2005.02.027")</f>
        <v>http://dx.doi.org/10.1016/j.jastp.2005.02.027</v>
      </c>
      <c r="BG384" t="s">
        <v>74</v>
      </c>
      <c r="BH384" t="s">
        <v>74</v>
      </c>
      <c r="BI384">
        <v>7</v>
      </c>
      <c r="BJ384" t="s">
        <v>2142</v>
      </c>
      <c r="BK384" t="s">
        <v>1411</v>
      </c>
      <c r="BL384" t="s">
        <v>2142</v>
      </c>
      <c r="BM384" t="s">
        <v>6328</v>
      </c>
      <c r="BN384" t="s">
        <v>74</v>
      </c>
      <c r="BO384" t="s">
        <v>74</v>
      </c>
      <c r="BP384" t="s">
        <v>74</v>
      </c>
      <c r="BQ384" t="s">
        <v>74</v>
      </c>
      <c r="BR384" t="s">
        <v>101</v>
      </c>
      <c r="BS384" t="s">
        <v>6329</v>
      </c>
      <c r="BT384" t="str">
        <f>HYPERLINK("https%3A%2F%2Fwww.webofscience.com%2Fwos%2Fwoscc%2Ffull-record%2FWOS:000234449000003","View Full Record in Web of Science")</f>
        <v>View Full Record in Web of Science</v>
      </c>
    </row>
    <row r="385" spans="1:72" x14ac:dyDescent="0.15">
      <c r="A385" t="s">
        <v>72</v>
      </c>
      <c r="B385" t="s">
        <v>6330</v>
      </c>
      <c r="C385" t="s">
        <v>74</v>
      </c>
      <c r="D385" t="s">
        <v>74</v>
      </c>
      <c r="E385" t="s">
        <v>74</v>
      </c>
      <c r="F385" t="s">
        <v>6330</v>
      </c>
      <c r="G385" t="s">
        <v>74</v>
      </c>
      <c r="H385" t="s">
        <v>74</v>
      </c>
      <c r="I385" t="s">
        <v>6331</v>
      </c>
      <c r="J385" t="s">
        <v>6332</v>
      </c>
      <c r="K385" t="s">
        <v>74</v>
      </c>
      <c r="L385" t="s">
        <v>74</v>
      </c>
      <c r="M385" t="s">
        <v>77</v>
      </c>
      <c r="N385" t="s">
        <v>78</v>
      </c>
      <c r="O385" t="s">
        <v>74</v>
      </c>
      <c r="P385" t="s">
        <v>74</v>
      </c>
      <c r="Q385" t="s">
        <v>74</v>
      </c>
      <c r="R385" t="s">
        <v>74</v>
      </c>
      <c r="S385" t="s">
        <v>74</v>
      </c>
      <c r="T385" t="s">
        <v>6333</v>
      </c>
      <c r="U385" t="s">
        <v>6334</v>
      </c>
      <c r="V385" t="s">
        <v>6335</v>
      </c>
      <c r="W385" t="s">
        <v>801</v>
      </c>
      <c r="X385" t="s">
        <v>788</v>
      </c>
      <c r="Y385" t="s">
        <v>6336</v>
      </c>
      <c r="Z385" t="s">
        <v>6337</v>
      </c>
      <c r="AA385" t="s">
        <v>74</v>
      </c>
      <c r="AB385" t="s">
        <v>74</v>
      </c>
      <c r="AC385" t="s">
        <v>74</v>
      </c>
      <c r="AD385" t="s">
        <v>74</v>
      </c>
      <c r="AE385" t="s">
        <v>74</v>
      </c>
      <c r="AF385" t="s">
        <v>74</v>
      </c>
      <c r="AG385">
        <v>68</v>
      </c>
      <c r="AH385">
        <v>15</v>
      </c>
      <c r="AI385">
        <v>17</v>
      </c>
      <c r="AJ385">
        <v>1</v>
      </c>
      <c r="AK385">
        <v>8</v>
      </c>
      <c r="AL385" t="s">
        <v>1873</v>
      </c>
      <c r="AM385" t="s">
        <v>140</v>
      </c>
      <c r="AN385" t="s">
        <v>1874</v>
      </c>
      <c r="AO385" t="s">
        <v>6338</v>
      </c>
      <c r="AP385" t="s">
        <v>74</v>
      </c>
      <c r="AQ385" t="s">
        <v>74</v>
      </c>
      <c r="AR385" t="s">
        <v>6339</v>
      </c>
      <c r="AS385" t="s">
        <v>6340</v>
      </c>
      <c r="AT385" t="s">
        <v>5770</v>
      </c>
      <c r="AU385">
        <v>2005</v>
      </c>
      <c r="AV385">
        <v>67</v>
      </c>
      <c r="AW385">
        <v>6</v>
      </c>
      <c r="AX385" t="s">
        <v>74</v>
      </c>
      <c r="AY385" t="s">
        <v>74</v>
      </c>
      <c r="AZ385" t="s">
        <v>74</v>
      </c>
      <c r="BA385" t="s">
        <v>74</v>
      </c>
      <c r="BB385">
        <v>1666</v>
      </c>
      <c r="BC385">
        <v>1685</v>
      </c>
      <c r="BD385" t="s">
        <v>74</v>
      </c>
      <c r="BE385" t="s">
        <v>6341</v>
      </c>
      <c r="BF385" t="str">
        <f>HYPERLINK("http://dx.doi.org/10.1111/j.1095-8649.2005.00874.x","http://dx.doi.org/10.1111/j.1095-8649.2005.00874.x")</f>
        <v>http://dx.doi.org/10.1111/j.1095-8649.2005.00874.x</v>
      </c>
      <c r="BG385" t="s">
        <v>74</v>
      </c>
      <c r="BH385" t="s">
        <v>74</v>
      </c>
      <c r="BI385">
        <v>20</v>
      </c>
      <c r="BJ385" t="s">
        <v>5977</v>
      </c>
      <c r="BK385" t="s">
        <v>98</v>
      </c>
      <c r="BL385" t="s">
        <v>5977</v>
      </c>
      <c r="BM385" t="s">
        <v>6342</v>
      </c>
      <c r="BN385" t="s">
        <v>74</v>
      </c>
      <c r="BO385" t="s">
        <v>74</v>
      </c>
      <c r="BP385" t="s">
        <v>74</v>
      </c>
      <c r="BQ385" t="s">
        <v>74</v>
      </c>
      <c r="BR385" t="s">
        <v>101</v>
      </c>
      <c r="BS385" t="s">
        <v>6343</v>
      </c>
      <c r="BT385" t="str">
        <f>HYPERLINK("https%3A%2F%2Fwww.webofscience.com%2Fwos%2Fwoscc%2Ffull-record%2FWOS:000236609600013","View Full Record in Web of Science")</f>
        <v>View Full Record in Web of Science</v>
      </c>
    </row>
    <row r="386" spans="1:72" x14ac:dyDescent="0.15">
      <c r="A386" t="s">
        <v>72</v>
      </c>
      <c r="B386" t="s">
        <v>6344</v>
      </c>
      <c r="C386" t="s">
        <v>74</v>
      </c>
      <c r="D386" t="s">
        <v>74</v>
      </c>
      <c r="E386" t="s">
        <v>74</v>
      </c>
      <c r="F386" t="s">
        <v>6344</v>
      </c>
      <c r="G386" t="s">
        <v>74</v>
      </c>
      <c r="H386" t="s">
        <v>74</v>
      </c>
      <c r="I386" t="s">
        <v>6345</v>
      </c>
      <c r="J386" t="s">
        <v>5063</v>
      </c>
      <c r="K386" t="s">
        <v>74</v>
      </c>
      <c r="L386" t="s">
        <v>74</v>
      </c>
      <c r="M386" t="s">
        <v>77</v>
      </c>
      <c r="N386" t="s">
        <v>78</v>
      </c>
      <c r="O386" t="s">
        <v>74</v>
      </c>
      <c r="P386" t="s">
        <v>74</v>
      </c>
      <c r="Q386" t="s">
        <v>74</v>
      </c>
      <c r="R386" t="s">
        <v>74</v>
      </c>
      <c r="S386" t="s">
        <v>74</v>
      </c>
      <c r="T386" t="s">
        <v>74</v>
      </c>
      <c r="U386" t="s">
        <v>6346</v>
      </c>
      <c r="V386" t="s">
        <v>6347</v>
      </c>
      <c r="W386" t="s">
        <v>6348</v>
      </c>
      <c r="X386" t="s">
        <v>6349</v>
      </c>
      <c r="Y386" t="s">
        <v>6350</v>
      </c>
      <c r="Z386" t="s">
        <v>6351</v>
      </c>
      <c r="AA386" t="s">
        <v>6352</v>
      </c>
      <c r="AB386" t="s">
        <v>6353</v>
      </c>
      <c r="AC386" t="s">
        <v>74</v>
      </c>
      <c r="AD386" t="s">
        <v>74</v>
      </c>
      <c r="AE386" t="s">
        <v>74</v>
      </c>
      <c r="AF386" t="s">
        <v>74</v>
      </c>
      <c r="AG386">
        <v>63</v>
      </c>
      <c r="AH386">
        <v>49</v>
      </c>
      <c r="AI386">
        <v>52</v>
      </c>
      <c r="AJ386">
        <v>2</v>
      </c>
      <c r="AK386">
        <v>30</v>
      </c>
      <c r="AL386" t="s">
        <v>4487</v>
      </c>
      <c r="AM386" t="s">
        <v>2541</v>
      </c>
      <c r="AN386" t="s">
        <v>4488</v>
      </c>
      <c r="AO386" t="s">
        <v>5072</v>
      </c>
      <c r="AP386" t="s">
        <v>5073</v>
      </c>
      <c r="AQ386" t="s">
        <v>74</v>
      </c>
      <c r="AR386" t="s">
        <v>5074</v>
      </c>
      <c r="AS386" t="s">
        <v>5075</v>
      </c>
      <c r="AT386" t="s">
        <v>6354</v>
      </c>
      <c r="AU386">
        <v>2005</v>
      </c>
      <c r="AV386">
        <v>110</v>
      </c>
      <c r="AW386" t="s">
        <v>6355</v>
      </c>
      <c r="AX386" t="s">
        <v>74</v>
      </c>
      <c r="AY386" t="s">
        <v>74</v>
      </c>
      <c r="AZ386" t="s">
        <v>74</v>
      </c>
      <c r="BA386" t="s">
        <v>74</v>
      </c>
      <c r="BB386" t="s">
        <v>74</v>
      </c>
      <c r="BC386" t="s">
        <v>74</v>
      </c>
      <c r="BD386" t="s">
        <v>6356</v>
      </c>
      <c r="BE386" t="s">
        <v>6357</v>
      </c>
      <c r="BF386" t="str">
        <f>HYPERLINK("http://dx.doi.org/10.1029/2005JD006110","http://dx.doi.org/10.1029/2005JD006110")</f>
        <v>http://dx.doi.org/10.1029/2005JD006110</v>
      </c>
      <c r="BG386" t="s">
        <v>74</v>
      </c>
      <c r="BH386" t="s">
        <v>74</v>
      </c>
      <c r="BI386">
        <v>17</v>
      </c>
      <c r="BJ386" t="s">
        <v>2033</v>
      </c>
      <c r="BK386" t="s">
        <v>98</v>
      </c>
      <c r="BL386" t="s">
        <v>2033</v>
      </c>
      <c r="BM386" t="s">
        <v>6358</v>
      </c>
      <c r="BN386" t="s">
        <v>74</v>
      </c>
      <c r="BO386" t="s">
        <v>534</v>
      </c>
      <c r="BP386" t="s">
        <v>74</v>
      </c>
      <c r="BQ386" t="s">
        <v>74</v>
      </c>
      <c r="BR386" t="s">
        <v>101</v>
      </c>
      <c r="BS386" t="s">
        <v>6359</v>
      </c>
      <c r="BT386" t="str">
        <f>HYPERLINK("https%3A%2F%2Fwww.webofscience.com%2Fwos%2Fwoscc%2Ffull-record%2FWOS:000233936300004","View Full Record in Web of Science")</f>
        <v>View Full Record in Web of Science</v>
      </c>
    </row>
    <row r="387" spans="1:72" x14ac:dyDescent="0.15">
      <c r="A387" t="s">
        <v>72</v>
      </c>
      <c r="B387" t="s">
        <v>6360</v>
      </c>
      <c r="C387" t="s">
        <v>74</v>
      </c>
      <c r="D387" t="s">
        <v>74</v>
      </c>
      <c r="E387" t="s">
        <v>74</v>
      </c>
      <c r="F387" t="s">
        <v>6360</v>
      </c>
      <c r="G387" t="s">
        <v>74</v>
      </c>
      <c r="H387" t="s">
        <v>74</v>
      </c>
      <c r="I387" t="s">
        <v>6361</v>
      </c>
      <c r="J387" t="s">
        <v>6362</v>
      </c>
      <c r="K387" t="s">
        <v>74</v>
      </c>
      <c r="L387" t="s">
        <v>74</v>
      </c>
      <c r="M387" t="s">
        <v>77</v>
      </c>
      <c r="N387" t="s">
        <v>78</v>
      </c>
      <c r="O387" t="s">
        <v>74</v>
      </c>
      <c r="P387" t="s">
        <v>74</v>
      </c>
      <c r="Q387" t="s">
        <v>74</v>
      </c>
      <c r="R387" t="s">
        <v>74</v>
      </c>
      <c r="S387" t="s">
        <v>74</v>
      </c>
      <c r="T387" t="s">
        <v>6363</v>
      </c>
      <c r="U387" t="s">
        <v>6364</v>
      </c>
      <c r="V387" t="s">
        <v>6365</v>
      </c>
      <c r="W387" t="s">
        <v>6366</v>
      </c>
      <c r="X387" t="s">
        <v>6367</v>
      </c>
      <c r="Y387" t="s">
        <v>6368</v>
      </c>
      <c r="Z387" t="s">
        <v>6369</v>
      </c>
      <c r="AA387" t="s">
        <v>6370</v>
      </c>
      <c r="AB387" t="s">
        <v>6371</v>
      </c>
      <c r="AC387" t="s">
        <v>74</v>
      </c>
      <c r="AD387" t="s">
        <v>74</v>
      </c>
      <c r="AE387" t="s">
        <v>74</v>
      </c>
      <c r="AF387" t="s">
        <v>74</v>
      </c>
      <c r="AG387">
        <v>48</v>
      </c>
      <c r="AH387">
        <v>51</v>
      </c>
      <c r="AI387">
        <v>53</v>
      </c>
      <c r="AJ387">
        <v>0</v>
      </c>
      <c r="AK387">
        <v>26</v>
      </c>
      <c r="AL387" t="s">
        <v>2025</v>
      </c>
      <c r="AM387" t="s">
        <v>2026</v>
      </c>
      <c r="AN387" t="s">
        <v>2027</v>
      </c>
      <c r="AO387" t="s">
        <v>6372</v>
      </c>
      <c r="AP387" t="s">
        <v>6373</v>
      </c>
      <c r="AQ387" t="s">
        <v>74</v>
      </c>
      <c r="AR387" t="s">
        <v>6374</v>
      </c>
      <c r="AS387" t="s">
        <v>6375</v>
      </c>
      <c r="AT387" t="s">
        <v>5770</v>
      </c>
      <c r="AU387">
        <v>2005</v>
      </c>
      <c r="AV387">
        <v>41</v>
      </c>
      <c r="AW387">
        <v>6</v>
      </c>
      <c r="AX387" t="s">
        <v>74</v>
      </c>
      <c r="AY387" t="s">
        <v>74</v>
      </c>
      <c r="AZ387" t="s">
        <v>74</v>
      </c>
      <c r="BA387" t="s">
        <v>74</v>
      </c>
      <c r="BB387">
        <v>1204</v>
      </c>
      <c r="BC387">
        <v>1211</v>
      </c>
      <c r="BD387" t="s">
        <v>74</v>
      </c>
      <c r="BE387" t="s">
        <v>6376</v>
      </c>
      <c r="BF387" t="str">
        <f>HYPERLINK("http://dx.doi.org/10.1111/j.1529-8817.2005.00148.x","http://dx.doi.org/10.1111/j.1529-8817.2005.00148.x")</f>
        <v>http://dx.doi.org/10.1111/j.1529-8817.2005.00148.x</v>
      </c>
      <c r="BG387" t="s">
        <v>74</v>
      </c>
      <c r="BH387" t="s">
        <v>74</v>
      </c>
      <c r="BI387">
        <v>8</v>
      </c>
      <c r="BJ387" t="s">
        <v>6377</v>
      </c>
      <c r="BK387" t="s">
        <v>98</v>
      </c>
      <c r="BL387" t="s">
        <v>6377</v>
      </c>
      <c r="BM387" t="s">
        <v>6378</v>
      </c>
      <c r="BN387" t="s">
        <v>74</v>
      </c>
      <c r="BO387" t="s">
        <v>74</v>
      </c>
      <c r="BP387" t="s">
        <v>74</v>
      </c>
      <c r="BQ387" t="s">
        <v>74</v>
      </c>
      <c r="BR387" t="s">
        <v>101</v>
      </c>
      <c r="BS387" t="s">
        <v>6379</v>
      </c>
      <c r="BT387" t="str">
        <f>HYPERLINK("https%3A%2F%2Fwww.webofscience.com%2Fwos%2Fwoscc%2Ffull-record%2FWOS:000233829500016","View Full Record in Web of Science")</f>
        <v>View Full Record in Web of Science</v>
      </c>
    </row>
    <row r="388" spans="1:72" x14ac:dyDescent="0.15">
      <c r="A388" t="s">
        <v>72</v>
      </c>
      <c r="B388" t="s">
        <v>6380</v>
      </c>
      <c r="C388" t="s">
        <v>74</v>
      </c>
      <c r="D388" t="s">
        <v>74</v>
      </c>
      <c r="E388" t="s">
        <v>74</v>
      </c>
      <c r="F388" t="s">
        <v>6380</v>
      </c>
      <c r="G388" t="s">
        <v>74</v>
      </c>
      <c r="H388" t="s">
        <v>74</v>
      </c>
      <c r="I388" t="s">
        <v>6381</v>
      </c>
      <c r="J388" t="s">
        <v>6362</v>
      </c>
      <c r="K388" t="s">
        <v>74</v>
      </c>
      <c r="L388" t="s">
        <v>74</v>
      </c>
      <c r="M388" t="s">
        <v>77</v>
      </c>
      <c r="N388" t="s">
        <v>78</v>
      </c>
      <c r="O388" t="s">
        <v>74</v>
      </c>
      <c r="P388" t="s">
        <v>74</v>
      </c>
      <c r="Q388" t="s">
        <v>74</v>
      </c>
      <c r="R388" t="s">
        <v>74</v>
      </c>
      <c r="S388" t="s">
        <v>74</v>
      </c>
      <c r="T388" t="s">
        <v>6382</v>
      </c>
      <c r="U388" t="s">
        <v>6383</v>
      </c>
      <c r="V388" t="s">
        <v>6384</v>
      </c>
      <c r="W388" t="s">
        <v>6366</v>
      </c>
      <c r="X388" t="s">
        <v>6367</v>
      </c>
      <c r="Y388" t="s">
        <v>6368</v>
      </c>
      <c r="Z388" t="s">
        <v>6369</v>
      </c>
      <c r="AA388" t="s">
        <v>6385</v>
      </c>
      <c r="AB388" t="s">
        <v>6371</v>
      </c>
      <c r="AC388" t="s">
        <v>74</v>
      </c>
      <c r="AD388" t="s">
        <v>74</v>
      </c>
      <c r="AE388" t="s">
        <v>74</v>
      </c>
      <c r="AF388" t="s">
        <v>74</v>
      </c>
      <c r="AG388">
        <v>29</v>
      </c>
      <c r="AH388">
        <v>37</v>
      </c>
      <c r="AI388">
        <v>38</v>
      </c>
      <c r="AJ388">
        <v>0</v>
      </c>
      <c r="AK388">
        <v>12</v>
      </c>
      <c r="AL388" t="s">
        <v>2025</v>
      </c>
      <c r="AM388" t="s">
        <v>2026</v>
      </c>
      <c r="AN388" t="s">
        <v>2027</v>
      </c>
      <c r="AO388" t="s">
        <v>6372</v>
      </c>
      <c r="AP388" t="s">
        <v>6373</v>
      </c>
      <c r="AQ388" t="s">
        <v>74</v>
      </c>
      <c r="AR388" t="s">
        <v>6374</v>
      </c>
      <c r="AS388" t="s">
        <v>6375</v>
      </c>
      <c r="AT388" t="s">
        <v>5770</v>
      </c>
      <c r="AU388">
        <v>2005</v>
      </c>
      <c r="AV388">
        <v>41</v>
      </c>
      <c r="AW388">
        <v>6</v>
      </c>
      <c r="AX388" t="s">
        <v>74</v>
      </c>
      <c r="AY388" t="s">
        <v>74</v>
      </c>
      <c r="AZ388" t="s">
        <v>74</v>
      </c>
      <c r="BA388" t="s">
        <v>74</v>
      </c>
      <c r="BB388">
        <v>1212</v>
      </c>
      <c r="BC388">
        <v>1218</v>
      </c>
      <c r="BD388" t="s">
        <v>74</v>
      </c>
      <c r="BE388" t="s">
        <v>6386</v>
      </c>
      <c r="BF388" t="str">
        <f>HYPERLINK("http://dx.doi.org/10.1111/j.1529-8817.2005.00149.x","http://dx.doi.org/10.1111/j.1529-8817.2005.00149.x")</f>
        <v>http://dx.doi.org/10.1111/j.1529-8817.2005.00149.x</v>
      </c>
      <c r="BG388" t="s">
        <v>74</v>
      </c>
      <c r="BH388" t="s">
        <v>74</v>
      </c>
      <c r="BI388">
        <v>7</v>
      </c>
      <c r="BJ388" t="s">
        <v>6377</v>
      </c>
      <c r="BK388" t="s">
        <v>98</v>
      </c>
      <c r="BL388" t="s">
        <v>6377</v>
      </c>
      <c r="BM388" t="s">
        <v>6378</v>
      </c>
      <c r="BN388" t="s">
        <v>74</v>
      </c>
      <c r="BO388" t="s">
        <v>74</v>
      </c>
      <c r="BP388" t="s">
        <v>74</v>
      </c>
      <c r="BQ388" t="s">
        <v>74</v>
      </c>
      <c r="BR388" t="s">
        <v>101</v>
      </c>
      <c r="BS388" t="s">
        <v>6387</v>
      </c>
      <c r="BT388" t="str">
        <f>HYPERLINK("https%3A%2F%2Fwww.webofscience.com%2Fwos%2Fwoscc%2Ffull-record%2FWOS:000233829500017","View Full Record in Web of Science")</f>
        <v>View Full Record in Web of Science</v>
      </c>
    </row>
    <row r="389" spans="1:72" x14ac:dyDescent="0.15">
      <c r="A389" t="s">
        <v>72</v>
      </c>
      <c r="B389" t="s">
        <v>6388</v>
      </c>
      <c r="C389" t="s">
        <v>74</v>
      </c>
      <c r="D389" t="s">
        <v>74</v>
      </c>
      <c r="E389" t="s">
        <v>74</v>
      </c>
      <c r="F389" t="s">
        <v>6388</v>
      </c>
      <c r="G389" t="s">
        <v>74</v>
      </c>
      <c r="H389" t="s">
        <v>74</v>
      </c>
      <c r="I389" t="s">
        <v>6389</v>
      </c>
      <c r="J389" t="s">
        <v>6390</v>
      </c>
      <c r="K389" t="s">
        <v>74</v>
      </c>
      <c r="L389" t="s">
        <v>74</v>
      </c>
      <c r="M389" t="s">
        <v>77</v>
      </c>
      <c r="N389" t="s">
        <v>78</v>
      </c>
      <c r="O389" t="s">
        <v>74</v>
      </c>
      <c r="P389" t="s">
        <v>74</v>
      </c>
      <c r="Q389" t="s">
        <v>74</v>
      </c>
      <c r="R389" t="s">
        <v>74</v>
      </c>
      <c r="S389" t="s">
        <v>74</v>
      </c>
      <c r="T389" t="s">
        <v>6391</v>
      </c>
      <c r="U389" t="s">
        <v>6392</v>
      </c>
      <c r="V389" t="s">
        <v>6393</v>
      </c>
      <c r="W389" t="s">
        <v>6394</v>
      </c>
      <c r="X389" t="s">
        <v>6395</v>
      </c>
      <c r="Y389" t="s">
        <v>6396</v>
      </c>
      <c r="Z389" t="s">
        <v>6397</v>
      </c>
      <c r="AA389" t="s">
        <v>6398</v>
      </c>
      <c r="AB389" t="s">
        <v>6399</v>
      </c>
      <c r="AC389" t="s">
        <v>74</v>
      </c>
      <c r="AD389" t="s">
        <v>74</v>
      </c>
      <c r="AE389" t="s">
        <v>74</v>
      </c>
      <c r="AF389" t="s">
        <v>74</v>
      </c>
      <c r="AG389">
        <v>17</v>
      </c>
      <c r="AH389">
        <v>7</v>
      </c>
      <c r="AI389">
        <v>11</v>
      </c>
      <c r="AJ389">
        <v>0</v>
      </c>
      <c r="AK389">
        <v>13</v>
      </c>
      <c r="AL389" t="s">
        <v>4460</v>
      </c>
      <c r="AM389" t="s">
        <v>4461</v>
      </c>
      <c r="AN389" t="s">
        <v>4462</v>
      </c>
      <c r="AO389" t="s">
        <v>6400</v>
      </c>
      <c r="AP389" t="s">
        <v>74</v>
      </c>
      <c r="AQ389" t="s">
        <v>74</v>
      </c>
      <c r="AR389" t="s">
        <v>6401</v>
      </c>
      <c r="AS389" t="s">
        <v>6402</v>
      </c>
      <c r="AT389" t="s">
        <v>5770</v>
      </c>
      <c r="AU389">
        <v>2005</v>
      </c>
      <c r="AV389">
        <v>36</v>
      </c>
      <c r="AW389">
        <v>12</v>
      </c>
      <c r="AX389" t="s">
        <v>74</v>
      </c>
      <c r="AY389" t="s">
        <v>74</v>
      </c>
      <c r="AZ389" t="s">
        <v>74</v>
      </c>
      <c r="BA389" t="s">
        <v>74</v>
      </c>
      <c r="BB389">
        <v>1113</v>
      </c>
      <c r="BC389">
        <v>1117</v>
      </c>
      <c r="BD389" t="s">
        <v>74</v>
      </c>
      <c r="BE389" t="s">
        <v>6403</v>
      </c>
      <c r="BF389" t="str">
        <f>HYPERLINK("http://dx.doi.org/10.1002/jrs.1415","http://dx.doi.org/10.1002/jrs.1415")</f>
        <v>http://dx.doi.org/10.1002/jrs.1415</v>
      </c>
      <c r="BG389" t="s">
        <v>74</v>
      </c>
      <c r="BH389" t="s">
        <v>74</v>
      </c>
      <c r="BI389">
        <v>5</v>
      </c>
      <c r="BJ389" t="s">
        <v>6404</v>
      </c>
      <c r="BK389" t="s">
        <v>98</v>
      </c>
      <c r="BL389" t="s">
        <v>6404</v>
      </c>
      <c r="BM389" t="s">
        <v>6405</v>
      </c>
      <c r="BN389" t="s">
        <v>74</v>
      </c>
      <c r="BO389" t="s">
        <v>1900</v>
      </c>
      <c r="BP389" t="s">
        <v>74</v>
      </c>
      <c r="BQ389" t="s">
        <v>74</v>
      </c>
      <c r="BR389" t="s">
        <v>101</v>
      </c>
      <c r="BS389" t="s">
        <v>6406</v>
      </c>
      <c r="BT389" t="str">
        <f>HYPERLINK("https%3A%2F%2Fwww.webofscience.com%2Fwos%2Fwoscc%2Ffull-record%2FWOS:000234158300004","View Full Record in Web of Science")</f>
        <v>View Full Record in Web of Science</v>
      </c>
    </row>
    <row r="390" spans="1:72" x14ac:dyDescent="0.15">
      <c r="A390" t="s">
        <v>72</v>
      </c>
      <c r="B390" t="s">
        <v>6407</v>
      </c>
      <c r="C390" t="s">
        <v>74</v>
      </c>
      <c r="D390" t="s">
        <v>74</v>
      </c>
      <c r="E390" t="s">
        <v>74</v>
      </c>
      <c r="F390" t="s">
        <v>6407</v>
      </c>
      <c r="G390" t="s">
        <v>74</v>
      </c>
      <c r="H390" t="s">
        <v>74</v>
      </c>
      <c r="I390" t="s">
        <v>6408</v>
      </c>
      <c r="J390" t="s">
        <v>6409</v>
      </c>
      <c r="K390" t="s">
        <v>74</v>
      </c>
      <c r="L390" t="s">
        <v>74</v>
      </c>
      <c r="M390" t="s">
        <v>77</v>
      </c>
      <c r="N390" t="s">
        <v>78</v>
      </c>
      <c r="O390" t="s">
        <v>74</v>
      </c>
      <c r="P390" t="s">
        <v>74</v>
      </c>
      <c r="Q390" t="s">
        <v>74</v>
      </c>
      <c r="R390" t="s">
        <v>74</v>
      </c>
      <c r="S390" t="s">
        <v>74</v>
      </c>
      <c r="T390" t="s">
        <v>6410</v>
      </c>
      <c r="U390" t="s">
        <v>6411</v>
      </c>
      <c r="V390" t="s">
        <v>6412</v>
      </c>
      <c r="W390" t="s">
        <v>6413</v>
      </c>
      <c r="X390" t="s">
        <v>6414</v>
      </c>
      <c r="Y390" t="s">
        <v>6415</v>
      </c>
      <c r="Z390" t="s">
        <v>6416</v>
      </c>
      <c r="AA390" t="s">
        <v>6417</v>
      </c>
      <c r="AB390" t="s">
        <v>6418</v>
      </c>
      <c r="AC390" t="s">
        <v>74</v>
      </c>
      <c r="AD390" t="s">
        <v>74</v>
      </c>
      <c r="AE390" t="s">
        <v>74</v>
      </c>
      <c r="AF390" t="s">
        <v>74</v>
      </c>
      <c r="AG390">
        <v>55</v>
      </c>
      <c r="AH390">
        <v>11</v>
      </c>
      <c r="AI390">
        <v>13</v>
      </c>
      <c r="AJ390">
        <v>1</v>
      </c>
      <c r="AK390">
        <v>13</v>
      </c>
      <c r="AL390" t="s">
        <v>6419</v>
      </c>
      <c r="AM390" t="s">
        <v>6420</v>
      </c>
      <c r="AN390" t="s">
        <v>6421</v>
      </c>
      <c r="AO390" t="s">
        <v>6422</v>
      </c>
      <c r="AP390" t="s">
        <v>6423</v>
      </c>
      <c r="AQ390" t="s">
        <v>74</v>
      </c>
      <c r="AR390" t="s">
        <v>6424</v>
      </c>
      <c r="AS390" t="s">
        <v>6425</v>
      </c>
      <c r="AT390" t="s">
        <v>5770</v>
      </c>
      <c r="AU390">
        <v>2005</v>
      </c>
      <c r="AV390">
        <v>24</v>
      </c>
      <c r="AW390">
        <v>4</v>
      </c>
      <c r="AX390" t="s">
        <v>74</v>
      </c>
      <c r="AY390" t="s">
        <v>74</v>
      </c>
      <c r="AZ390" t="s">
        <v>74</v>
      </c>
      <c r="BA390" t="s">
        <v>74</v>
      </c>
      <c r="BB390">
        <v>1209</v>
      </c>
      <c r="BC390">
        <v>1216</v>
      </c>
      <c r="BD390" t="s">
        <v>74</v>
      </c>
      <c r="BE390" t="s">
        <v>74</v>
      </c>
      <c r="BF390" t="s">
        <v>74</v>
      </c>
      <c r="BG390" t="s">
        <v>74</v>
      </c>
      <c r="BH390" t="s">
        <v>74</v>
      </c>
      <c r="BI390">
        <v>8</v>
      </c>
      <c r="BJ390" t="s">
        <v>5977</v>
      </c>
      <c r="BK390" t="s">
        <v>98</v>
      </c>
      <c r="BL390" t="s">
        <v>5977</v>
      </c>
      <c r="BM390" t="s">
        <v>6426</v>
      </c>
      <c r="BN390" t="s">
        <v>74</v>
      </c>
      <c r="BO390" t="s">
        <v>74</v>
      </c>
      <c r="BP390" t="s">
        <v>74</v>
      </c>
      <c r="BQ390" t="s">
        <v>74</v>
      </c>
      <c r="BR390" t="s">
        <v>101</v>
      </c>
      <c r="BS390" t="s">
        <v>6427</v>
      </c>
      <c r="BT390" t="str">
        <f>HYPERLINK("https%3A%2F%2Fwww.webofscience.com%2Fwos%2Fwoscc%2Ffull-record%2FWOS:000237299200042","View Full Record in Web of Science")</f>
        <v>View Full Record in Web of Science</v>
      </c>
    </row>
    <row r="391" spans="1:72" x14ac:dyDescent="0.15">
      <c r="A391" t="s">
        <v>72</v>
      </c>
      <c r="B391" t="s">
        <v>6428</v>
      </c>
      <c r="C391" t="s">
        <v>74</v>
      </c>
      <c r="D391" t="s">
        <v>74</v>
      </c>
      <c r="E391" t="s">
        <v>74</v>
      </c>
      <c r="F391" t="s">
        <v>6428</v>
      </c>
      <c r="G391" t="s">
        <v>74</v>
      </c>
      <c r="H391" t="s">
        <v>74</v>
      </c>
      <c r="I391" t="s">
        <v>6429</v>
      </c>
      <c r="J391" t="s">
        <v>6430</v>
      </c>
      <c r="K391" t="s">
        <v>74</v>
      </c>
      <c r="L391" t="s">
        <v>74</v>
      </c>
      <c r="M391" t="s">
        <v>77</v>
      </c>
      <c r="N391" t="s">
        <v>78</v>
      </c>
      <c r="O391" t="s">
        <v>74</v>
      </c>
      <c r="P391" t="s">
        <v>74</v>
      </c>
      <c r="Q391" t="s">
        <v>74</v>
      </c>
      <c r="R391" t="s">
        <v>74</v>
      </c>
      <c r="S391" t="s">
        <v>74</v>
      </c>
      <c r="T391" t="s">
        <v>6431</v>
      </c>
      <c r="U391" t="s">
        <v>6432</v>
      </c>
      <c r="V391" t="s">
        <v>6433</v>
      </c>
      <c r="W391" t="s">
        <v>6434</v>
      </c>
      <c r="X391" t="s">
        <v>6435</v>
      </c>
      <c r="Y391" t="s">
        <v>6436</v>
      </c>
      <c r="Z391" t="s">
        <v>6437</v>
      </c>
      <c r="AA391" t="s">
        <v>74</v>
      </c>
      <c r="AB391" t="s">
        <v>74</v>
      </c>
      <c r="AC391" t="s">
        <v>74</v>
      </c>
      <c r="AD391" t="s">
        <v>74</v>
      </c>
      <c r="AE391" t="s">
        <v>74</v>
      </c>
      <c r="AF391" t="s">
        <v>74</v>
      </c>
      <c r="AG391">
        <v>82</v>
      </c>
      <c r="AH391">
        <v>17</v>
      </c>
      <c r="AI391">
        <v>18</v>
      </c>
      <c r="AJ391">
        <v>0</v>
      </c>
      <c r="AK391">
        <v>8</v>
      </c>
      <c r="AL391" t="s">
        <v>622</v>
      </c>
      <c r="AM391" t="s">
        <v>140</v>
      </c>
      <c r="AN391" t="s">
        <v>623</v>
      </c>
      <c r="AO391" t="s">
        <v>6438</v>
      </c>
      <c r="AP391" t="s">
        <v>74</v>
      </c>
      <c r="AQ391" t="s">
        <v>74</v>
      </c>
      <c r="AR391" t="s">
        <v>6439</v>
      </c>
      <c r="AS391" t="s">
        <v>6440</v>
      </c>
      <c r="AT391" t="s">
        <v>5770</v>
      </c>
      <c r="AU391">
        <v>2005</v>
      </c>
      <c r="AV391">
        <v>20</v>
      </c>
      <c r="AW391">
        <v>3</v>
      </c>
      <c r="AX391" t="s">
        <v>74</v>
      </c>
      <c r="AY391" t="s">
        <v>74</v>
      </c>
      <c r="AZ391" t="s">
        <v>74</v>
      </c>
      <c r="BA391" t="s">
        <v>74</v>
      </c>
      <c r="BB391">
        <v>171</v>
      </c>
      <c r="BC391">
        <v>191</v>
      </c>
      <c r="BD391" t="s">
        <v>74</v>
      </c>
      <c r="BE391" t="s">
        <v>6441</v>
      </c>
      <c r="BF391" t="str">
        <f>HYPERLINK("http://dx.doi.org/10.1016/j.jsames.2005.05.008","http://dx.doi.org/10.1016/j.jsames.2005.05.008")</f>
        <v>http://dx.doi.org/10.1016/j.jsames.2005.05.008</v>
      </c>
      <c r="BG391" t="s">
        <v>74</v>
      </c>
      <c r="BH391" t="s">
        <v>74</v>
      </c>
      <c r="BI391">
        <v>21</v>
      </c>
      <c r="BJ391" t="s">
        <v>1129</v>
      </c>
      <c r="BK391" t="s">
        <v>98</v>
      </c>
      <c r="BL391" t="s">
        <v>1130</v>
      </c>
      <c r="BM391" t="s">
        <v>6442</v>
      </c>
      <c r="BN391" t="s">
        <v>74</v>
      </c>
      <c r="BO391" t="s">
        <v>74</v>
      </c>
      <c r="BP391" t="s">
        <v>74</v>
      </c>
      <c r="BQ391" t="s">
        <v>74</v>
      </c>
      <c r="BR391" t="s">
        <v>101</v>
      </c>
      <c r="BS391" t="s">
        <v>6443</v>
      </c>
      <c r="BT391" t="str">
        <f>HYPERLINK("https%3A%2F%2Fwww.webofscience.com%2Fwos%2Fwoscc%2Ffull-record%2FWOS:000234912200002","View Full Record in Web of Science")</f>
        <v>View Full Record in Web of Science</v>
      </c>
    </row>
    <row r="392" spans="1:72" x14ac:dyDescent="0.15">
      <c r="A392" t="s">
        <v>72</v>
      </c>
      <c r="B392" t="s">
        <v>6444</v>
      </c>
      <c r="C392" t="s">
        <v>74</v>
      </c>
      <c r="D392" t="s">
        <v>74</v>
      </c>
      <c r="E392" t="s">
        <v>74</v>
      </c>
      <c r="F392" t="s">
        <v>6444</v>
      </c>
      <c r="G392" t="s">
        <v>74</v>
      </c>
      <c r="H392" t="s">
        <v>74</v>
      </c>
      <c r="I392" t="s">
        <v>6445</v>
      </c>
      <c r="J392" t="s">
        <v>2466</v>
      </c>
      <c r="K392" t="s">
        <v>74</v>
      </c>
      <c r="L392" t="s">
        <v>74</v>
      </c>
      <c r="M392" t="s">
        <v>77</v>
      </c>
      <c r="N392" t="s">
        <v>78</v>
      </c>
      <c r="O392" t="s">
        <v>74</v>
      </c>
      <c r="P392" t="s">
        <v>74</v>
      </c>
      <c r="Q392" t="s">
        <v>74</v>
      </c>
      <c r="R392" t="s">
        <v>74</v>
      </c>
      <c r="S392" t="s">
        <v>74</v>
      </c>
      <c r="T392" t="s">
        <v>74</v>
      </c>
      <c r="U392" t="s">
        <v>6446</v>
      </c>
      <c r="V392" t="s">
        <v>6447</v>
      </c>
      <c r="W392" t="s">
        <v>6448</v>
      </c>
      <c r="X392" t="s">
        <v>6449</v>
      </c>
      <c r="Y392" t="s">
        <v>6450</v>
      </c>
      <c r="Z392" t="s">
        <v>74</v>
      </c>
      <c r="AA392" t="s">
        <v>6451</v>
      </c>
      <c r="AB392" t="s">
        <v>6452</v>
      </c>
      <c r="AC392" t="s">
        <v>74</v>
      </c>
      <c r="AD392" t="s">
        <v>74</v>
      </c>
      <c r="AE392" t="s">
        <v>74</v>
      </c>
      <c r="AF392" t="s">
        <v>74</v>
      </c>
      <c r="AG392">
        <v>23</v>
      </c>
      <c r="AH392">
        <v>25</v>
      </c>
      <c r="AI392">
        <v>31</v>
      </c>
      <c r="AJ392">
        <v>1</v>
      </c>
      <c r="AK392">
        <v>18</v>
      </c>
      <c r="AL392" t="s">
        <v>2475</v>
      </c>
      <c r="AM392" t="s">
        <v>1460</v>
      </c>
      <c r="AN392" t="s">
        <v>2476</v>
      </c>
      <c r="AO392" t="s">
        <v>2477</v>
      </c>
      <c r="AP392" t="s">
        <v>74</v>
      </c>
      <c r="AQ392" t="s">
        <v>74</v>
      </c>
      <c r="AR392" t="s">
        <v>2478</v>
      </c>
      <c r="AS392" t="s">
        <v>2479</v>
      </c>
      <c r="AT392" t="s">
        <v>5770</v>
      </c>
      <c r="AU392">
        <v>2005</v>
      </c>
      <c r="AV392">
        <v>118</v>
      </c>
      <c r="AW392">
        <v>6</v>
      </c>
      <c r="AX392" t="s">
        <v>74</v>
      </c>
      <c r="AY392" t="s">
        <v>74</v>
      </c>
      <c r="AZ392" t="s">
        <v>74</v>
      </c>
      <c r="BA392" t="s">
        <v>74</v>
      </c>
      <c r="BB392">
        <v>3941</v>
      </c>
      <c r="BC392">
        <v>3945</v>
      </c>
      <c r="BD392" t="s">
        <v>74</v>
      </c>
      <c r="BE392" t="s">
        <v>6453</v>
      </c>
      <c r="BF392" t="str">
        <f>HYPERLINK("http://dx.doi.org/10.1121/1.2130944","http://dx.doi.org/10.1121/1.2130944")</f>
        <v>http://dx.doi.org/10.1121/1.2130944</v>
      </c>
      <c r="BG392" t="s">
        <v>74</v>
      </c>
      <c r="BH392" t="s">
        <v>74</v>
      </c>
      <c r="BI392">
        <v>5</v>
      </c>
      <c r="BJ392" t="s">
        <v>2481</v>
      </c>
      <c r="BK392" t="s">
        <v>98</v>
      </c>
      <c r="BL392" t="s">
        <v>2481</v>
      </c>
      <c r="BM392" t="s">
        <v>6454</v>
      </c>
      <c r="BN392">
        <v>16419837</v>
      </c>
      <c r="BO392" t="s">
        <v>722</v>
      </c>
      <c r="BP392" t="s">
        <v>74</v>
      </c>
      <c r="BQ392" t="s">
        <v>74</v>
      </c>
      <c r="BR392" t="s">
        <v>101</v>
      </c>
      <c r="BS392" t="s">
        <v>6455</v>
      </c>
      <c r="BT392" t="str">
        <f>HYPERLINK("https%3A%2F%2Fwww.webofscience.com%2Fwos%2Fwoscc%2Ffull-record%2FWOS:000234101000055","View Full Record in Web of Science")</f>
        <v>View Full Record in Web of Science</v>
      </c>
    </row>
    <row r="393" spans="1:72" x14ac:dyDescent="0.15">
      <c r="A393" t="s">
        <v>72</v>
      </c>
      <c r="B393" t="s">
        <v>6456</v>
      </c>
      <c r="C393" t="s">
        <v>74</v>
      </c>
      <c r="D393" t="s">
        <v>74</v>
      </c>
      <c r="E393" t="s">
        <v>74</v>
      </c>
      <c r="F393" t="s">
        <v>6456</v>
      </c>
      <c r="G393" t="s">
        <v>74</v>
      </c>
      <c r="H393" t="s">
        <v>74</v>
      </c>
      <c r="I393" t="s">
        <v>6457</v>
      </c>
      <c r="J393" t="s">
        <v>6458</v>
      </c>
      <c r="K393" t="s">
        <v>74</v>
      </c>
      <c r="L393" t="s">
        <v>74</v>
      </c>
      <c r="M393" t="s">
        <v>77</v>
      </c>
      <c r="N393" t="s">
        <v>78</v>
      </c>
      <c r="O393" t="s">
        <v>74</v>
      </c>
      <c r="P393" t="s">
        <v>74</v>
      </c>
      <c r="Q393" t="s">
        <v>74</v>
      </c>
      <c r="R393" t="s">
        <v>74</v>
      </c>
      <c r="S393" t="s">
        <v>74</v>
      </c>
      <c r="T393" t="s">
        <v>74</v>
      </c>
      <c r="U393" t="s">
        <v>6459</v>
      </c>
      <c r="V393" t="s">
        <v>6460</v>
      </c>
      <c r="W393" t="s">
        <v>6461</v>
      </c>
      <c r="X393" t="s">
        <v>6462</v>
      </c>
      <c r="Y393" t="s">
        <v>6463</v>
      </c>
      <c r="Z393" t="s">
        <v>6464</v>
      </c>
      <c r="AA393" t="s">
        <v>6465</v>
      </c>
      <c r="AB393" t="s">
        <v>6466</v>
      </c>
      <c r="AC393" t="s">
        <v>74</v>
      </c>
      <c r="AD393" t="s">
        <v>74</v>
      </c>
      <c r="AE393" t="s">
        <v>74</v>
      </c>
      <c r="AF393" t="s">
        <v>74</v>
      </c>
      <c r="AG393">
        <v>59</v>
      </c>
      <c r="AH393">
        <v>74</v>
      </c>
      <c r="AI393">
        <v>81</v>
      </c>
      <c r="AJ393">
        <v>0</v>
      </c>
      <c r="AK393">
        <v>38</v>
      </c>
      <c r="AL393" t="s">
        <v>2239</v>
      </c>
      <c r="AM393" t="s">
        <v>89</v>
      </c>
      <c r="AN393" t="s">
        <v>5779</v>
      </c>
      <c r="AO393" t="s">
        <v>6467</v>
      </c>
      <c r="AP393" t="s">
        <v>74</v>
      </c>
      <c r="AQ393" t="s">
        <v>74</v>
      </c>
      <c r="AR393" t="s">
        <v>6468</v>
      </c>
      <c r="AS393" t="s">
        <v>6469</v>
      </c>
      <c r="AT393" t="s">
        <v>5770</v>
      </c>
      <c r="AU393">
        <v>2005</v>
      </c>
      <c r="AV393">
        <v>85</v>
      </c>
      <c r="AW393">
        <v>6</v>
      </c>
      <c r="AX393" t="s">
        <v>74</v>
      </c>
      <c r="AY393" t="s">
        <v>74</v>
      </c>
      <c r="AZ393" t="s">
        <v>74</v>
      </c>
      <c r="BA393" t="s">
        <v>74</v>
      </c>
      <c r="BB393">
        <v>1329</v>
      </c>
      <c r="BC393">
        <v>1340</v>
      </c>
      <c r="BD393" t="s">
        <v>74</v>
      </c>
      <c r="BE393" t="s">
        <v>6470</v>
      </c>
      <c r="BF393" t="str">
        <f>HYPERLINK("http://dx.doi.org/10.1017/S0025315405012506","http://dx.doi.org/10.1017/S0025315405012506")</f>
        <v>http://dx.doi.org/10.1017/S0025315405012506</v>
      </c>
      <c r="BG393" t="s">
        <v>74</v>
      </c>
      <c r="BH393" t="s">
        <v>74</v>
      </c>
      <c r="BI393">
        <v>12</v>
      </c>
      <c r="BJ393" t="s">
        <v>206</v>
      </c>
      <c r="BK393" t="s">
        <v>98</v>
      </c>
      <c r="BL393" t="s">
        <v>206</v>
      </c>
      <c r="BM393" t="s">
        <v>6471</v>
      </c>
      <c r="BN393" t="s">
        <v>74</v>
      </c>
      <c r="BO393" t="s">
        <v>5041</v>
      </c>
      <c r="BP393" t="s">
        <v>74</v>
      </c>
      <c r="BQ393" t="s">
        <v>74</v>
      </c>
      <c r="BR393" t="s">
        <v>101</v>
      </c>
      <c r="BS393" t="s">
        <v>6472</v>
      </c>
      <c r="BT393" t="str">
        <f>HYPERLINK("https%3A%2F%2Fwww.webofscience.com%2Fwos%2Fwoscc%2Ffull-record%2FWOS:000234021100003","View Full Record in Web of Science")</f>
        <v>View Full Record in Web of Science</v>
      </c>
    </row>
    <row r="394" spans="1:72" x14ac:dyDescent="0.15">
      <c r="A394" t="s">
        <v>72</v>
      </c>
      <c r="B394" t="s">
        <v>6473</v>
      </c>
      <c r="C394" t="s">
        <v>74</v>
      </c>
      <c r="D394" t="s">
        <v>74</v>
      </c>
      <c r="E394" t="s">
        <v>74</v>
      </c>
      <c r="F394" t="s">
        <v>6473</v>
      </c>
      <c r="G394" t="s">
        <v>74</v>
      </c>
      <c r="H394" t="s">
        <v>74</v>
      </c>
      <c r="I394" t="s">
        <v>6474</v>
      </c>
      <c r="J394" t="s">
        <v>6458</v>
      </c>
      <c r="K394" t="s">
        <v>74</v>
      </c>
      <c r="L394" t="s">
        <v>74</v>
      </c>
      <c r="M394" t="s">
        <v>77</v>
      </c>
      <c r="N394" t="s">
        <v>78</v>
      </c>
      <c r="O394" t="s">
        <v>74</v>
      </c>
      <c r="P394" t="s">
        <v>74</v>
      </c>
      <c r="Q394" t="s">
        <v>74</v>
      </c>
      <c r="R394" t="s">
        <v>74</v>
      </c>
      <c r="S394" t="s">
        <v>74</v>
      </c>
      <c r="T394" t="s">
        <v>74</v>
      </c>
      <c r="U394" t="s">
        <v>6475</v>
      </c>
      <c r="V394" t="s">
        <v>6476</v>
      </c>
      <c r="W394" t="s">
        <v>6477</v>
      </c>
      <c r="X394" t="s">
        <v>788</v>
      </c>
      <c r="Y394" t="s">
        <v>6478</v>
      </c>
      <c r="Z394" t="s">
        <v>6479</v>
      </c>
      <c r="AA394" t="s">
        <v>6480</v>
      </c>
      <c r="AB394" t="s">
        <v>6481</v>
      </c>
      <c r="AC394" t="s">
        <v>74</v>
      </c>
      <c r="AD394" t="s">
        <v>74</v>
      </c>
      <c r="AE394" t="s">
        <v>74</v>
      </c>
      <c r="AF394" t="s">
        <v>74</v>
      </c>
      <c r="AG394">
        <v>11</v>
      </c>
      <c r="AH394">
        <v>8</v>
      </c>
      <c r="AI394">
        <v>9</v>
      </c>
      <c r="AJ394">
        <v>0</v>
      </c>
      <c r="AK394">
        <v>8</v>
      </c>
      <c r="AL394" t="s">
        <v>2239</v>
      </c>
      <c r="AM394" t="s">
        <v>89</v>
      </c>
      <c r="AN394" t="s">
        <v>4047</v>
      </c>
      <c r="AO394" t="s">
        <v>6467</v>
      </c>
      <c r="AP394" t="s">
        <v>6482</v>
      </c>
      <c r="AQ394" t="s">
        <v>74</v>
      </c>
      <c r="AR394" t="s">
        <v>6468</v>
      </c>
      <c r="AS394" t="s">
        <v>6469</v>
      </c>
      <c r="AT394" t="s">
        <v>5770</v>
      </c>
      <c r="AU394">
        <v>2005</v>
      </c>
      <c r="AV394">
        <v>85</v>
      </c>
      <c r="AW394">
        <v>6</v>
      </c>
      <c r="AX394" t="s">
        <v>74</v>
      </c>
      <c r="AY394" t="s">
        <v>74</v>
      </c>
      <c r="AZ394" t="s">
        <v>74</v>
      </c>
      <c r="BA394" t="s">
        <v>74</v>
      </c>
      <c r="BB394">
        <v>1475</v>
      </c>
      <c r="BC394">
        <v>1479</v>
      </c>
      <c r="BD394" t="s">
        <v>74</v>
      </c>
      <c r="BE394" t="s">
        <v>6483</v>
      </c>
      <c r="BF394" t="str">
        <f>HYPERLINK("http://dx.doi.org/10.1017/S002531540501266X","http://dx.doi.org/10.1017/S002531540501266X")</f>
        <v>http://dx.doi.org/10.1017/S002531540501266X</v>
      </c>
      <c r="BG394" t="s">
        <v>74</v>
      </c>
      <c r="BH394" t="s">
        <v>74</v>
      </c>
      <c r="BI394">
        <v>5</v>
      </c>
      <c r="BJ394" t="s">
        <v>206</v>
      </c>
      <c r="BK394" t="s">
        <v>98</v>
      </c>
      <c r="BL394" t="s">
        <v>206</v>
      </c>
      <c r="BM394" t="s">
        <v>6471</v>
      </c>
      <c r="BN394" t="s">
        <v>74</v>
      </c>
      <c r="BO394" t="s">
        <v>74</v>
      </c>
      <c r="BP394" t="s">
        <v>74</v>
      </c>
      <c r="BQ394" t="s">
        <v>74</v>
      </c>
      <c r="BR394" t="s">
        <v>101</v>
      </c>
      <c r="BS394" t="s">
        <v>6484</v>
      </c>
      <c r="BT394" t="str">
        <f>HYPERLINK("https%3A%2F%2Fwww.webofscience.com%2Fwos%2Fwoscc%2Ffull-record%2FWOS:000234021100019","View Full Record in Web of Science")</f>
        <v>View Full Record in Web of Science</v>
      </c>
    </row>
    <row r="395" spans="1:72" x14ac:dyDescent="0.15">
      <c r="A395" t="s">
        <v>72</v>
      </c>
      <c r="B395" t="s">
        <v>6485</v>
      </c>
      <c r="C395" t="s">
        <v>74</v>
      </c>
      <c r="D395" t="s">
        <v>74</v>
      </c>
      <c r="E395" t="s">
        <v>74</v>
      </c>
      <c r="F395" t="s">
        <v>6485</v>
      </c>
      <c r="G395" t="s">
        <v>74</v>
      </c>
      <c r="H395" t="s">
        <v>74</v>
      </c>
      <c r="I395" t="s">
        <v>6486</v>
      </c>
      <c r="J395" t="s">
        <v>6487</v>
      </c>
      <c r="K395" t="s">
        <v>74</v>
      </c>
      <c r="L395" t="s">
        <v>74</v>
      </c>
      <c r="M395" t="s">
        <v>77</v>
      </c>
      <c r="N395" t="s">
        <v>78</v>
      </c>
      <c r="O395" t="s">
        <v>74</v>
      </c>
      <c r="P395" t="s">
        <v>74</v>
      </c>
      <c r="Q395" t="s">
        <v>74</v>
      </c>
      <c r="R395" t="s">
        <v>74</v>
      </c>
      <c r="S395" t="s">
        <v>74</v>
      </c>
      <c r="T395" t="s">
        <v>74</v>
      </c>
      <c r="U395" t="s">
        <v>6488</v>
      </c>
      <c r="V395" t="s">
        <v>6489</v>
      </c>
      <c r="W395" t="s">
        <v>6490</v>
      </c>
      <c r="X395" t="s">
        <v>6491</v>
      </c>
      <c r="Y395" t="s">
        <v>6492</v>
      </c>
      <c r="Z395" t="s">
        <v>6493</v>
      </c>
      <c r="AA395" t="s">
        <v>6494</v>
      </c>
      <c r="AB395" t="s">
        <v>6495</v>
      </c>
      <c r="AC395" t="s">
        <v>74</v>
      </c>
      <c r="AD395" t="s">
        <v>74</v>
      </c>
      <c r="AE395" t="s">
        <v>74</v>
      </c>
      <c r="AF395" t="s">
        <v>74</v>
      </c>
      <c r="AG395">
        <v>51</v>
      </c>
      <c r="AH395">
        <v>45</v>
      </c>
      <c r="AI395">
        <v>54</v>
      </c>
      <c r="AJ395">
        <v>3</v>
      </c>
      <c r="AK395">
        <v>19</v>
      </c>
      <c r="AL395" t="s">
        <v>2025</v>
      </c>
      <c r="AM395" t="s">
        <v>2026</v>
      </c>
      <c r="AN395" t="s">
        <v>2027</v>
      </c>
      <c r="AO395" t="s">
        <v>6496</v>
      </c>
      <c r="AP395" t="s">
        <v>74</v>
      </c>
      <c r="AQ395" t="s">
        <v>74</v>
      </c>
      <c r="AR395" t="s">
        <v>6497</v>
      </c>
      <c r="AS395" t="s">
        <v>6498</v>
      </c>
      <c r="AT395" t="s">
        <v>5770</v>
      </c>
      <c r="AU395">
        <v>2005</v>
      </c>
      <c r="AV395">
        <v>3</v>
      </c>
      <c r="AW395" t="s">
        <v>74</v>
      </c>
      <c r="AX395" t="s">
        <v>74</v>
      </c>
      <c r="AY395" t="s">
        <v>74</v>
      </c>
      <c r="AZ395" t="s">
        <v>74</v>
      </c>
      <c r="BA395" t="s">
        <v>74</v>
      </c>
      <c r="BB395">
        <v>533</v>
      </c>
      <c r="BC395">
        <v>542</v>
      </c>
      <c r="BD395" t="s">
        <v>74</v>
      </c>
      <c r="BE395" t="s">
        <v>6499</v>
      </c>
      <c r="BF395" t="str">
        <f>HYPERLINK("http://dx.doi.org/10.4319/lom.2005.3.533","http://dx.doi.org/10.4319/lom.2005.3.533")</f>
        <v>http://dx.doi.org/10.4319/lom.2005.3.533</v>
      </c>
      <c r="BG395" t="s">
        <v>74</v>
      </c>
      <c r="BH395" t="s">
        <v>74</v>
      </c>
      <c r="BI395">
        <v>10</v>
      </c>
      <c r="BJ395" t="s">
        <v>6500</v>
      </c>
      <c r="BK395" t="s">
        <v>98</v>
      </c>
      <c r="BL395" t="s">
        <v>3720</v>
      </c>
      <c r="BM395" t="s">
        <v>6501</v>
      </c>
      <c r="BN395" t="s">
        <v>74</v>
      </c>
      <c r="BO395" t="s">
        <v>722</v>
      </c>
      <c r="BP395" t="s">
        <v>74</v>
      </c>
      <c r="BQ395" t="s">
        <v>74</v>
      </c>
      <c r="BR395" t="s">
        <v>101</v>
      </c>
      <c r="BS395" t="s">
        <v>6502</v>
      </c>
      <c r="BT395" t="str">
        <f>HYPERLINK("https%3A%2F%2Fwww.webofscience.com%2Fwos%2Fwoscc%2Ffull-record%2FWOS:000236037400003","View Full Record in Web of Science")</f>
        <v>View Full Record in Web of Science</v>
      </c>
    </row>
    <row r="396" spans="1:72" x14ac:dyDescent="0.15">
      <c r="A396" t="s">
        <v>72</v>
      </c>
      <c r="B396" t="s">
        <v>6503</v>
      </c>
      <c r="C396" t="s">
        <v>74</v>
      </c>
      <c r="D396" t="s">
        <v>74</v>
      </c>
      <c r="E396" t="s">
        <v>74</v>
      </c>
      <c r="F396" t="s">
        <v>6503</v>
      </c>
      <c r="G396" t="s">
        <v>74</v>
      </c>
      <c r="H396" t="s">
        <v>74</v>
      </c>
      <c r="I396" t="s">
        <v>6504</v>
      </c>
      <c r="J396" t="s">
        <v>6505</v>
      </c>
      <c r="K396" t="s">
        <v>74</v>
      </c>
      <c r="L396" t="s">
        <v>74</v>
      </c>
      <c r="M396" t="s">
        <v>77</v>
      </c>
      <c r="N396" t="s">
        <v>78</v>
      </c>
      <c r="O396" t="s">
        <v>74</v>
      </c>
      <c r="P396" t="s">
        <v>74</v>
      </c>
      <c r="Q396" t="s">
        <v>74</v>
      </c>
      <c r="R396" t="s">
        <v>74</v>
      </c>
      <c r="S396" t="s">
        <v>74</v>
      </c>
      <c r="T396" t="s">
        <v>74</v>
      </c>
      <c r="U396" t="s">
        <v>6506</v>
      </c>
      <c r="V396" t="s">
        <v>6507</v>
      </c>
      <c r="W396" t="s">
        <v>6508</v>
      </c>
      <c r="X396" t="s">
        <v>6509</v>
      </c>
      <c r="Y396" t="s">
        <v>6510</v>
      </c>
      <c r="Z396" t="s">
        <v>6511</v>
      </c>
      <c r="AA396" t="s">
        <v>6512</v>
      </c>
      <c r="AB396" t="s">
        <v>6513</v>
      </c>
      <c r="AC396" t="s">
        <v>74</v>
      </c>
      <c r="AD396" t="s">
        <v>74</v>
      </c>
      <c r="AE396" t="s">
        <v>74</v>
      </c>
      <c r="AF396" t="s">
        <v>74</v>
      </c>
      <c r="AG396">
        <v>77</v>
      </c>
      <c r="AH396">
        <v>70</v>
      </c>
      <c r="AI396">
        <v>79</v>
      </c>
      <c r="AJ396">
        <v>1</v>
      </c>
      <c r="AK396">
        <v>28</v>
      </c>
      <c r="AL396" t="s">
        <v>6514</v>
      </c>
      <c r="AM396" t="s">
        <v>6515</v>
      </c>
      <c r="AN396" t="s">
        <v>6516</v>
      </c>
      <c r="AO396" t="s">
        <v>6517</v>
      </c>
      <c r="AP396" t="s">
        <v>6518</v>
      </c>
      <c r="AQ396" t="s">
        <v>74</v>
      </c>
      <c r="AR396" t="s">
        <v>6519</v>
      </c>
      <c r="AS396" t="s">
        <v>6520</v>
      </c>
      <c r="AT396" t="s">
        <v>5770</v>
      </c>
      <c r="AU396">
        <v>2005</v>
      </c>
      <c r="AV396">
        <v>148</v>
      </c>
      <c r="AW396">
        <v>2</v>
      </c>
      <c r="AX396" t="s">
        <v>74</v>
      </c>
      <c r="AY396" t="s">
        <v>74</v>
      </c>
      <c r="AZ396" t="s">
        <v>74</v>
      </c>
      <c r="BA396" t="s">
        <v>74</v>
      </c>
      <c r="BB396">
        <v>449</v>
      </c>
      <c r="BC396">
        <v>457</v>
      </c>
      <c r="BD396" t="s">
        <v>74</v>
      </c>
      <c r="BE396" t="s">
        <v>6521</v>
      </c>
      <c r="BF396" t="str">
        <f>HYPERLINK("http://dx.doi.org/10.1007/s00227-005-0078-2","http://dx.doi.org/10.1007/s00227-005-0078-2")</f>
        <v>http://dx.doi.org/10.1007/s00227-005-0078-2</v>
      </c>
      <c r="BG396" t="s">
        <v>74</v>
      </c>
      <c r="BH396" t="s">
        <v>74</v>
      </c>
      <c r="BI396">
        <v>9</v>
      </c>
      <c r="BJ396" t="s">
        <v>206</v>
      </c>
      <c r="BK396" t="s">
        <v>98</v>
      </c>
      <c r="BL396" t="s">
        <v>206</v>
      </c>
      <c r="BM396" t="s">
        <v>6522</v>
      </c>
      <c r="BN396" t="s">
        <v>74</v>
      </c>
      <c r="BO396" t="s">
        <v>74</v>
      </c>
      <c r="BP396" t="s">
        <v>74</v>
      </c>
      <c r="BQ396" t="s">
        <v>74</v>
      </c>
      <c r="BR396" t="s">
        <v>101</v>
      </c>
      <c r="BS396" t="s">
        <v>6523</v>
      </c>
      <c r="BT396" t="str">
        <f>HYPERLINK("https%3A%2F%2Fwww.webofscience.com%2Fwos%2Fwoscc%2Ffull-record%2FWOS:000233724300022","View Full Record in Web of Science")</f>
        <v>View Full Record in Web of Science</v>
      </c>
    </row>
    <row r="397" spans="1:72" x14ac:dyDescent="0.15">
      <c r="A397" t="s">
        <v>72</v>
      </c>
      <c r="B397" t="s">
        <v>6524</v>
      </c>
      <c r="C397" t="s">
        <v>74</v>
      </c>
      <c r="D397" t="s">
        <v>74</v>
      </c>
      <c r="E397" t="s">
        <v>74</v>
      </c>
      <c r="F397" t="s">
        <v>6524</v>
      </c>
      <c r="G397" t="s">
        <v>74</v>
      </c>
      <c r="H397" t="s">
        <v>74</v>
      </c>
      <c r="I397" t="s">
        <v>6525</v>
      </c>
      <c r="J397" t="s">
        <v>5272</v>
      </c>
      <c r="K397" t="s">
        <v>74</v>
      </c>
      <c r="L397" t="s">
        <v>74</v>
      </c>
      <c r="M397" t="s">
        <v>77</v>
      </c>
      <c r="N397" t="s">
        <v>78</v>
      </c>
      <c r="O397" t="s">
        <v>74</v>
      </c>
      <c r="P397" t="s">
        <v>74</v>
      </c>
      <c r="Q397" t="s">
        <v>74</v>
      </c>
      <c r="R397" t="s">
        <v>74</v>
      </c>
      <c r="S397" t="s">
        <v>74</v>
      </c>
      <c r="T397" t="s">
        <v>6526</v>
      </c>
      <c r="U397" t="s">
        <v>6527</v>
      </c>
      <c r="V397" t="s">
        <v>6528</v>
      </c>
      <c r="W397" t="s">
        <v>6529</v>
      </c>
      <c r="X397" t="s">
        <v>6530</v>
      </c>
      <c r="Y397" t="s">
        <v>6531</v>
      </c>
      <c r="Z397" t="s">
        <v>6532</v>
      </c>
      <c r="AA397" t="s">
        <v>6533</v>
      </c>
      <c r="AB397" t="s">
        <v>6534</v>
      </c>
      <c r="AC397" t="s">
        <v>74</v>
      </c>
      <c r="AD397" t="s">
        <v>74</v>
      </c>
      <c r="AE397" t="s">
        <v>74</v>
      </c>
      <c r="AF397" t="s">
        <v>74</v>
      </c>
      <c r="AG397">
        <v>87</v>
      </c>
      <c r="AH397">
        <v>14</v>
      </c>
      <c r="AI397">
        <v>19</v>
      </c>
      <c r="AJ397">
        <v>1</v>
      </c>
      <c r="AK397">
        <v>13</v>
      </c>
      <c r="AL397" t="s">
        <v>3283</v>
      </c>
      <c r="AM397" t="s">
        <v>1148</v>
      </c>
      <c r="AN397" t="s">
        <v>3284</v>
      </c>
      <c r="AO397" t="s">
        <v>5280</v>
      </c>
      <c r="AP397" t="s">
        <v>5281</v>
      </c>
      <c r="AQ397" t="s">
        <v>74</v>
      </c>
      <c r="AR397" t="s">
        <v>5282</v>
      </c>
      <c r="AS397" t="s">
        <v>5283</v>
      </c>
      <c r="AT397" t="s">
        <v>5770</v>
      </c>
      <c r="AU397">
        <v>2005</v>
      </c>
      <c r="AV397">
        <v>57</v>
      </c>
      <c r="AW397" t="s">
        <v>530</v>
      </c>
      <c r="AX397" t="s">
        <v>74</v>
      </c>
      <c r="AY397" t="s">
        <v>74</v>
      </c>
      <c r="AZ397" t="s">
        <v>74</v>
      </c>
      <c r="BA397" t="s">
        <v>74</v>
      </c>
      <c r="BB397">
        <v>74</v>
      </c>
      <c r="BC397">
        <v>96</v>
      </c>
      <c r="BD397" t="s">
        <v>74</v>
      </c>
      <c r="BE397" t="s">
        <v>6535</v>
      </c>
      <c r="BF397" t="str">
        <f>HYPERLINK("http://dx.doi.org/10.1016/j.marmicro.2005.07.004","http://dx.doi.org/10.1016/j.marmicro.2005.07.004")</f>
        <v>http://dx.doi.org/10.1016/j.marmicro.2005.07.004</v>
      </c>
      <c r="BG397" t="s">
        <v>74</v>
      </c>
      <c r="BH397" t="s">
        <v>74</v>
      </c>
      <c r="BI397">
        <v>23</v>
      </c>
      <c r="BJ397" t="s">
        <v>487</v>
      </c>
      <c r="BK397" t="s">
        <v>98</v>
      </c>
      <c r="BL397" t="s">
        <v>487</v>
      </c>
      <c r="BM397" t="s">
        <v>6536</v>
      </c>
      <c r="BN397" t="s">
        <v>74</v>
      </c>
      <c r="BO397" t="s">
        <v>74</v>
      </c>
      <c r="BP397" t="s">
        <v>74</v>
      </c>
      <c r="BQ397" t="s">
        <v>74</v>
      </c>
      <c r="BR397" t="s">
        <v>101</v>
      </c>
      <c r="BS397" t="s">
        <v>6537</v>
      </c>
      <c r="BT397" t="str">
        <f>HYPERLINK("https%3A%2F%2Fwww.webofscience.com%2Fwos%2Fwoscc%2Ffull-record%2FWOS:000232911900003","View Full Record in Web of Science")</f>
        <v>View Full Record in Web of Science</v>
      </c>
    </row>
    <row r="398" spans="1:72" x14ac:dyDescent="0.15">
      <c r="A398" t="s">
        <v>72</v>
      </c>
      <c r="B398" t="s">
        <v>6538</v>
      </c>
      <c r="C398" t="s">
        <v>74</v>
      </c>
      <c r="D398" t="s">
        <v>74</v>
      </c>
      <c r="E398" t="s">
        <v>74</v>
      </c>
      <c r="F398" t="s">
        <v>6538</v>
      </c>
      <c r="G398" t="s">
        <v>74</v>
      </c>
      <c r="H398" t="s">
        <v>74</v>
      </c>
      <c r="I398" t="s">
        <v>6539</v>
      </c>
      <c r="J398" t="s">
        <v>3232</v>
      </c>
      <c r="K398" t="s">
        <v>74</v>
      </c>
      <c r="L398" t="s">
        <v>74</v>
      </c>
      <c r="M398" t="s">
        <v>77</v>
      </c>
      <c r="N398" t="s">
        <v>78</v>
      </c>
      <c r="O398" t="s">
        <v>74</v>
      </c>
      <c r="P398" t="s">
        <v>74</v>
      </c>
      <c r="Q398" t="s">
        <v>74</v>
      </c>
      <c r="R398" t="s">
        <v>74</v>
      </c>
      <c r="S398" t="s">
        <v>74</v>
      </c>
      <c r="T398" t="s">
        <v>74</v>
      </c>
      <c r="U398" t="s">
        <v>6540</v>
      </c>
      <c r="V398" t="s">
        <v>6541</v>
      </c>
      <c r="W398" t="s">
        <v>6542</v>
      </c>
      <c r="X398" t="s">
        <v>6543</v>
      </c>
      <c r="Y398" t="s">
        <v>6544</v>
      </c>
      <c r="Z398" t="s">
        <v>6545</v>
      </c>
      <c r="AA398" t="s">
        <v>74</v>
      </c>
      <c r="AB398" t="s">
        <v>74</v>
      </c>
      <c r="AC398" t="s">
        <v>74</v>
      </c>
      <c r="AD398" t="s">
        <v>74</v>
      </c>
      <c r="AE398" t="s">
        <v>74</v>
      </c>
      <c r="AF398" t="s">
        <v>74</v>
      </c>
      <c r="AG398">
        <v>32</v>
      </c>
      <c r="AH398">
        <v>5</v>
      </c>
      <c r="AI398">
        <v>7</v>
      </c>
      <c r="AJ398">
        <v>0</v>
      </c>
      <c r="AK398">
        <v>5</v>
      </c>
      <c r="AL398" t="s">
        <v>3239</v>
      </c>
      <c r="AM398" t="s">
        <v>3240</v>
      </c>
      <c r="AN398" t="s">
        <v>3241</v>
      </c>
      <c r="AO398" t="s">
        <v>3242</v>
      </c>
      <c r="AP398" t="s">
        <v>74</v>
      </c>
      <c r="AQ398" t="s">
        <v>74</v>
      </c>
      <c r="AR398" t="s">
        <v>3243</v>
      </c>
      <c r="AS398" t="s">
        <v>3244</v>
      </c>
      <c r="AT398" t="s">
        <v>5770</v>
      </c>
      <c r="AU398">
        <v>2005</v>
      </c>
      <c r="AV398">
        <v>40</v>
      </c>
      <c r="AW398">
        <v>12</v>
      </c>
      <c r="AX398" t="s">
        <v>74</v>
      </c>
      <c r="AY398" t="s">
        <v>74</v>
      </c>
      <c r="AZ398" t="s">
        <v>74</v>
      </c>
      <c r="BA398" t="s">
        <v>74</v>
      </c>
      <c r="BB398">
        <v>1879</v>
      </c>
      <c r="BC398">
        <v>1885</v>
      </c>
      <c r="BD398" t="s">
        <v>74</v>
      </c>
      <c r="BE398" t="s">
        <v>6546</v>
      </c>
      <c r="BF398" t="str">
        <f>HYPERLINK("http://dx.doi.org/10.1111/j.1945-5100.2005.tb00151.x","http://dx.doi.org/10.1111/j.1945-5100.2005.tb00151.x")</f>
        <v>http://dx.doi.org/10.1111/j.1945-5100.2005.tb00151.x</v>
      </c>
      <c r="BG398" t="s">
        <v>74</v>
      </c>
      <c r="BH398" t="s">
        <v>74</v>
      </c>
      <c r="BI398">
        <v>7</v>
      </c>
      <c r="BJ398" t="s">
        <v>1348</v>
      </c>
      <c r="BK398" t="s">
        <v>98</v>
      </c>
      <c r="BL398" t="s">
        <v>1348</v>
      </c>
      <c r="BM398" t="s">
        <v>6547</v>
      </c>
      <c r="BN398" t="s">
        <v>74</v>
      </c>
      <c r="BO398" t="s">
        <v>1900</v>
      </c>
      <c r="BP398" t="s">
        <v>74</v>
      </c>
      <c r="BQ398" t="s">
        <v>74</v>
      </c>
      <c r="BR398" t="s">
        <v>101</v>
      </c>
      <c r="BS398" t="s">
        <v>6548</v>
      </c>
      <c r="BT398" t="str">
        <f>HYPERLINK("https%3A%2F%2Fwww.webofscience.com%2Fwos%2Fwoscc%2Ffull-record%2FWOS:000235273000008","View Full Record in Web of Science")</f>
        <v>View Full Record in Web of Science</v>
      </c>
    </row>
    <row r="399" spans="1:72" x14ac:dyDescent="0.15">
      <c r="A399" t="s">
        <v>72</v>
      </c>
      <c r="B399" t="s">
        <v>6549</v>
      </c>
      <c r="C399" t="s">
        <v>74</v>
      </c>
      <c r="D399" t="s">
        <v>74</v>
      </c>
      <c r="E399" t="s">
        <v>74</v>
      </c>
      <c r="F399" t="s">
        <v>6549</v>
      </c>
      <c r="G399" t="s">
        <v>74</v>
      </c>
      <c r="H399" t="s">
        <v>74</v>
      </c>
      <c r="I399" t="s">
        <v>6550</v>
      </c>
      <c r="J399" t="s">
        <v>6551</v>
      </c>
      <c r="K399" t="s">
        <v>74</v>
      </c>
      <c r="L399" t="s">
        <v>74</v>
      </c>
      <c r="M399" t="s">
        <v>77</v>
      </c>
      <c r="N399" t="s">
        <v>78</v>
      </c>
      <c r="O399" t="s">
        <v>74</v>
      </c>
      <c r="P399" t="s">
        <v>74</v>
      </c>
      <c r="Q399" t="s">
        <v>74</v>
      </c>
      <c r="R399" t="s">
        <v>74</v>
      </c>
      <c r="S399" t="s">
        <v>74</v>
      </c>
      <c r="T399" t="s">
        <v>6552</v>
      </c>
      <c r="U399" t="s">
        <v>6553</v>
      </c>
      <c r="V399" t="s">
        <v>6554</v>
      </c>
      <c r="W399" t="s">
        <v>6555</v>
      </c>
      <c r="X399" t="s">
        <v>6556</v>
      </c>
      <c r="Y399" t="s">
        <v>6557</v>
      </c>
      <c r="Z399" t="s">
        <v>6558</v>
      </c>
      <c r="AA399" t="s">
        <v>6559</v>
      </c>
      <c r="AB399" t="s">
        <v>6560</v>
      </c>
      <c r="AC399" t="s">
        <v>74</v>
      </c>
      <c r="AD399" t="s">
        <v>74</v>
      </c>
      <c r="AE399" t="s">
        <v>74</v>
      </c>
      <c r="AF399" t="s">
        <v>74</v>
      </c>
      <c r="AG399">
        <v>14</v>
      </c>
      <c r="AH399">
        <v>7</v>
      </c>
      <c r="AI399">
        <v>11</v>
      </c>
      <c r="AJ399">
        <v>0</v>
      </c>
      <c r="AK399">
        <v>10</v>
      </c>
      <c r="AL399" t="s">
        <v>2025</v>
      </c>
      <c r="AM399" t="s">
        <v>2026</v>
      </c>
      <c r="AN399" t="s">
        <v>2027</v>
      </c>
      <c r="AO399" t="s">
        <v>6561</v>
      </c>
      <c r="AP399" t="s">
        <v>74</v>
      </c>
      <c r="AQ399" t="s">
        <v>74</v>
      </c>
      <c r="AR399" t="s">
        <v>6562</v>
      </c>
      <c r="AS399" t="s">
        <v>6563</v>
      </c>
      <c r="AT399" t="s">
        <v>5770</v>
      </c>
      <c r="AU399">
        <v>2005</v>
      </c>
      <c r="AV399">
        <v>5</v>
      </c>
      <c r="AW399">
        <v>4</v>
      </c>
      <c r="AX399" t="s">
        <v>74</v>
      </c>
      <c r="AY399" t="s">
        <v>74</v>
      </c>
      <c r="AZ399" t="s">
        <v>74</v>
      </c>
      <c r="BA399" t="s">
        <v>74</v>
      </c>
      <c r="BB399">
        <v>965</v>
      </c>
      <c r="BC399">
        <v>968</v>
      </c>
      <c r="BD399" t="s">
        <v>74</v>
      </c>
      <c r="BE399" t="s">
        <v>6564</v>
      </c>
      <c r="BF399" t="str">
        <f>HYPERLINK("http://dx.doi.org/10.1111/j.1471-8286.2005.01095.x","http://dx.doi.org/10.1111/j.1471-8286.2005.01095.x")</f>
        <v>http://dx.doi.org/10.1111/j.1471-8286.2005.01095.x</v>
      </c>
      <c r="BG399" t="s">
        <v>74</v>
      </c>
      <c r="BH399" t="s">
        <v>74</v>
      </c>
      <c r="BI399">
        <v>4</v>
      </c>
      <c r="BJ399" t="s">
        <v>6565</v>
      </c>
      <c r="BK399" t="s">
        <v>98</v>
      </c>
      <c r="BL399" t="s">
        <v>6566</v>
      </c>
      <c r="BM399" t="s">
        <v>6567</v>
      </c>
      <c r="BN399" t="s">
        <v>74</v>
      </c>
      <c r="BO399" t="s">
        <v>74</v>
      </c>
      <c r="BP399" t="s">
        <v>74</v>
      </c>
      <c r="BQ399" t="s">
        <v>74</v>
      </c>
      <c r="BR399" t="s">
        <v>101</v>
      </c>
      <c r="BS399" t="s">
        <v>6568</v>
      </c>
      <c r="BT399" t="str">
        <f>HYPERLINK("https%3A%2F%2Fwww.webofscience.com%2Fwos%2Fwoscc%2Ffull-record%2FWOS:000234051200078","View Full Record in Web of Science")</f>
        <v>View Full Record in Web of Science</v>
      </c>
    </row>
    <row r="400" spans="1:72" x14ac:dyDescent="0.15">
      <c r="A400" t="s">
        <v>72</v>
      </c>
      <c r="B400" t="s">
        <v>6569</v>
      </c>
      <c r="C400" t="s">
        <v>74</v>
      </c>
      <c r="D400" t="s">
        <v>74</v>
      </c>
      <c r="E400" t="s">
        <v>74</v>
      </c>
      <c r="F400" t="s">
        <v>6569</v>
      </c>
      <c r="G400" t="s">
        <v>74</v>
      </c>
      <c r="H400" t="s">
        <v>74</v>
      </c>
      <c r="I400" t="s">
        <v>6570</v>
      </c>
      <c r="J400" t="s">
        <v>6571</v>
      </c>
      <c r="K400" t="s">
        <v>74</v>
      </c>
      <c r="L400" t="s">
        <v>74</v>
      </c>
      <c r="M400" t="s">
        <v>77</v>
      </c>
      <c r="N400" t="s">
        <v>335</v>
      </c>
      <c r="O400" t="s">
        <v>6572</v>
      </c>
      <c r="P400" t="s">
        <v>6573</v>
      </c>
      <c r="Q400" t="s">
        <v>6574</v>
      </c>
      <c r="R400" t="s">
        <v>74</v>
      </c>
      <c r="S400" t="s">
        <v>6575</v>
      </c>
      <c r="T400" t="s">
        <v>74</v>
      </c>
      <c r="U400" t="s">
        <v>6576</v>
      </c>
      <c r="V400" t="s">
        <v>6577</v>
      </c>
      <c r="W400" t="s">
        <v>6578</v>
      </c>
      <c r="X400" t="s">
        <v>6579</v>
      </c>
      <c r="Y400" t="s">
        <v>6580</v>
      </c>
      <c r="Z400" t="s">
        <v>6581</v>
      </c>
      <c r="AA400" t="s">
        <v>74</v>
      </c>
      <c r="AB400" t="s">
        <v>6582</v>
      </c>
      <c r="AC400" t="s">
        <v>74</v>
      </c>
      <c r="AD400" t="s">
        <v>74</v>
      </c>
      <c r="AE400" t="s">
        <v>74</v>
      </c>
      <c r="AF400" t="s">
        <v>74</v>
      </c>
      <c r="AG400">
        <v>31</v>
      </c>
      <c r="AH400">
        <v>90</v>
      </c>
      <c r="AI400">
        <v>108</v>
      </c>
      <c r="AJ400">
        <v>0</v>
      </c>
      <c r="AK400">
        <v>13</v>
      </c>
      <c r="AL400" t="s">
        <v>6583</v>
      </c>
      <c r="AM400" t="s">
        <v>6584</v>
      </c>
      <c r="AN400" t="s">
        <v>6585</v>
      </c>
      <c r="AO400" t="s">
        <v>6586</v>
      </c>
      <c r="AP400" t="s">
        <v>74</v>
      </c>
      <c r="AQ400" t="s">
        <v>74</v>
      </c>
      <c r="AR400" t="s">
        <v>6587</v>
      </c>
      <c r="AS400" t="s">
        <v>6588</v>
      </c>
      <c r="AT400" t="s">
        <v>5770</v>
      </c>
      <c r="AU400">
        <v>2005</v>
      </c>
      <c r="AV400">
        <v>133</v>
      </c>
      <c r="AW400">
        <v>12</v>
      </c>
      <c r="AX400" t="s">
        <v>74</v>
      </c>
      <c r="AY400" t="s">
        <v>74</v>
      </c>
      <c r="AZ400" t="s">
        <v>74</v>
      </c>
      <c r="BA400" t="s">
        <v>74</v>
      </c>
      <c r="BB400">
        <v>3407</v>
      </c>
      <c r="BC400">
        <v>3430</v>
      </c>
      <c r="BD400" t="s">
        <v>74</v>
      </c>
      <c r="BE400" t="s">
        <v>6589</v>
      </c>
      <c r="BF400" t="str">
        <f>HYPERLINK("http://dx.doi.org/10.1175/MWR3047.1","http://dx.doi.org/10.1175/MWR3047.1")</f>
        <v>http://dx.doi.org/10.1175/MWR3047.1</v>
      </c>
      <c r="BG400" t="s">
        <v>74</v>
      </c>
      <c r="BH400" t="s">
        <v>74</v>
      </c>
      <c r="BI400">
        <v>24</v>
      </c>
      <c r="BJ400" t="s">
        <v>2033</v>
      </c>
      <c r="BK400" t="s">
        <v>356</v>
      </c>
      <c r="BL400" t="s">
        <v>2033</v>
      </c>
      <c r="BM400" t="s">
        <v>6590</v>
      </c>
      <c r="BN400" t="s">
        <v>74</v>
      </c>
      <c r="BO400" t="s">
        <v>1132</v>
      </c>
      <c r="BP400" t="s">
        <v>74</v>
      </c>
      <c r="BQ400" t="s">
        <v>74</v>
      </c>
      <c r="BR400" t="s">
        <v>101</v>
      </c>
      <c r="BS400" t="s">
        <v>6591</v>
      </c>
      <c r="BT400" t="str">
        <f>HYPERLINK("https%3A%2F%2Fwww.webofscience.com%2Fwos%2Fwoscc%2Ffull-record%2FWOS:000234505200002","View Full Record in Web of Science")</f>
        <v>View Full Record in Web of Science</v>
      </c>
    </row>
    <row r="401" spans="1:72" x14ac:dyDescent="0.15">
      <c r="A401" t="s">
        <v>72</v>
      </c>
      <c r="B401" t="s">
        <v>6592</v>
      </c>
      <c r="C401" t="s">
        <v>74</v>
      </c>
      <c r="D401" t="s">
        <v>74</v>
      </c>
      <c r="E401" t="s">
        <v>74</v>
      </c>
      <c r="F401" t="s">
        <v>6592</v>
      </c>
      <c r="G401" t="s">
        <v>74</v>
      </c>
      <c r="H401" t="s">
        <v>74</v>
      </c>
      <c r="I401" t="s">
        <v>6593</v>
      </c>
      <c r="J401" t="s">
        <v>6571</v>
      </c>
      <c r="K401" t="s">
        <v>74</v>
      </c>
      <c r="L401" t="s">
        <v>74</v>
      </c>
      <c r="M401" t="s">
        <v>77</v>
      </c>
      <c r="N401" t="s">
        <v>335</v>
      </c>
      <c r="O401" t="s">
        <v>6572</v>
      </c>
      <c r="P401" t="s">
        <v>6573</v>
      </c>
      <c r="Q401" t="s">
        <v>6574</v>
      </c>
      <c r="R401" t="s">
        <v>74</v>
      </c>
      <c r="S401" t="s">
        <v>6575</v>
      </c>
      <c r="T401" t="s">
        <v>74</v>
      </c>
      <c r="U401" t="s">
        <v>6594</v>
      </c>
      <c r="V401" t="s">
        <v>6595</v>
      </c>
      <c r="W401" t="s">
        <v>3604</v>
      </c>
      <c r="X401" t="s">
        <v>3605</v>
      </c>
      <c r="Y401" t="s">
        <v>6596</v>
      </c>
      <c r="Z401" t="s">
        <v>6597</v>
      </c>
      <c r="AA401" t="s">
        <v>74</v>
      </c>
      <c r="AB401" t="s">
        <v>6598</v>
      </c>
      <c r="AC401" t="s">
        <v>74</v>
      </c>
      <c r="AD401" t="s">
        <v>74</v>
      </c>
      <c r="AE401" t="s">
        <v>74</v>
      </c>
      <c r="AF401" t="s">
        <v>74</v>
      </c>
      <c r="AG401">
        <v>38</v>
      </c>
      <c r="AH401">
        <v>57</v>
      </c>
      <c r="AI401">
        <v>70</v>
      </c>
      <c r="AJ401">
        <v>0</v>
      </c>
      <c r="AK401">
        <v>2</v>
      </c>
      <c r="AL401" t="s">
        <v>6583</v>
      </c>
      <c r="AM401" t="s">
        <v>6584</v>
      </c>
      <c r="AN401" t="s">
        <v>6585</v>
      </c>
      <c r="AO401" t="s">
        <v>6586</v>
      </c>
      <c r="AP401" t="s">
        <v>6599</v>
      </c>
      <c r="AQ401" t="s">
        <v>74</v>
      </c>
      <c r="AR401" t="s">
        <v>6587</v>
      </c>
      <c r="AS401" t="s">
        <v>6588</v>
      </c>
      <c r="AT401" t="s">
        <v>5770</v>
      </c>
      <c r="AU401">
        <v>2005</v>
      </c>
      <c r="AV401">
        <v>133</v>
      </c>
      <c r="AW401">
        <v>12</v>
      </c>
      <c r="AX401" t="s">
        <v>74</v>
      </c>
      <c r="AY401" t="s">
        <v>74</v>
      </c>
      <c r="AZ401" t="s">
        <v>74</v>
      </c>
      <c r="BA401" t="s">
        <v>74</v>
      </c>
      <c r="BB401">
        <v>3431</v>
      </c>
      <c r="BC401">
        <v>3449</v>
      </c>
      <c r="BD401" t="s">
        <v>74</v>
      </c>
      <c r="BE401" t="s">
        <v>6600</v>
      </c>
      <c r="BF401" t="str">
        <f>HYPERLINK("http://dx.doi.org/10.1175/MWR3042.1","http://dx.doi.org/10.1175/MWR3042.1")</f>
        <v>http://dx.doi.org/10.1175/MWR3042.1</v>
      </c>
      <c r="BG401" t="s">
        <v>74</v>
      </c>
      <c r="BH401" t="s">
        <v>74</v>
      </c>
      <c r="BI401">
        <v>19</v>
      </c>
      <c r="BJ401" t="s">
        <v>2033</v>
      </c>
      <c r="BK401" t="s">
        <v>1411</v>
      </c>
      <c r="BL401" t="s">
        <v>2033</v>
      </c>
      <c r="BM401" t="s">
        <v>6590</v>
      </c>
      <c r="BN401" t="s">
        <v>74</v>
      </c>
      <c r="BO401" t="s">
        <v>1132</v>
      </c>
      <c r="BP401" t="s">
        <v>74</v>
      </c>
      <c r="BQ401" t="s">
        <v>74</v>
      </c>
      <c r="BR401" t="s">
        <v>101</v>
      </c>
      <c r="BS401" t="s">
        <v>6601</v>
      </c>
      <c r="BT401" t="str">
        <f>HYPERLINK("https%3A%2F%2Fwww.webofscience.com%2Fwos%2Fwoscc%2Ffull-record%2FWOS:000234505200003","View Full Record in Web of Science")</f>
        <v>View Full Record in Web of Science</v>
      </c>
    </row>
    <row r="402" spans="1:72" x14ac:dyDescent="0.15">
      <c r="A402" t="s">
        <v>72</v>
      </c>
      <c r="B402" t="s">
        <v>6602</v>
      </c>
      <c r="C402" t="s">
        <v>74</v>
      </c>
      <c r="D402" t="s">
        <v>74</v>
      </c>
      <c r="E402" t="s">
        <v>74</v>
      </c>
      <c r="F402" t="s">
        <v>6602</v>
      </c>
      <c r="G402" t="s">
        <v>74</v>
      </c>
      <c r="H402" t="s">
        <v>74</v>
      </c>
      <c r="I402" t="s">
        <v>6603</v>
      </c>
      <c r="J402" t="s">
        <v>6571</v>
      </c>
      <c r="K402" t="s">
        <v>74</v>
      </c>
      <c r="L402" t="s">
        <v>74</v>
      </c>
      <c r="M402" t="s">
        <v>77</v>
      </c>
      <c r="N402" t="s">
        <v>335</v>
      </c>
      <c r="O402" t="s">
        <v>6572</v>
      </c>
      <c r="P402" t="s">
        <v>6573</v>
      </c>
      <c r="Q402" t="s">
        <v>6574</v>
      </c>
      <c r="R402" t="s">
        <v>74</v>
      </c>
      <c r="S402" t="s">
        <v>6575</v>
      </c>
      <c r="T402" t="s">
        <v>74</v>
      </c>
      <c r="U402" t="s">
        <v>6604</v>
      </c>
      <c r="V402" t="s">
        <v>6605</v>
      </c>
      <c r="W402" t="s">
        <v>6606</v>
      </c>
      <c r="X402" t="s">
        <v>6607</v>
      </c>
      <c r="Y402" t="s">
        <v>6608</v>
      </c>
      <c r="Z402" t="s">
        <v>6609</v>
      </c>
      <c r="AA402" t="s">
        <v>6610</v>
      </c>
      <c r="AB402" t="s">
        <v>6611</v>
      </c>
      <c r="AC402" t="s">
        <v>74</v>
      </c>
      <c r="AD402" t="s">
        <v>74</v>
      </c>
      <c r="AE402" t="s">
        <v>74</v>
      </c>
      <c r="AF402" t="s">
        <v>74</v>
      </c>
      <c r="AG402">
        <v>52</v>
      </c>
      <c r="AH402">
        <v>17</v>
      </c>
      <c r="AI402">
        <v>21</v>
      </c>
      <c r="AJ402">
        <v>0</v>
      </c>
      <c r="AK402">
        <v>1</v>
      </c>
      <c r="AL402" t="s">
        <v>6583</v>
      </c>
      <c r="AM402" t="s">
        <v>6584</v>
      </c>
      <c r="AN402" t="s">
        <v>6612</v>
      </c>
      <c r="AO402" t="s">
        <v>6586</v>
      </c>
      <c r="AP402" t="s">
        <v>6599</v>
      </c>
      <c r="AQ402" t="s">
        <v>74</v>
      </c>
      <c r="AR402" t="s">
        <v>6587</v>
      </c>
      <c r="AS402" t="s">
        <v>6588</v>
      </c>
      <c r="AT402" t="s">
        <v>5770</v>
      </c>
      <c r="AU402">
        <v>2005</v>
      </c>
      <c r="AV402">
        <v>133</v>
      </c>
      <c r="AW402">
        <v>12</v>
      </c>
      <c r="AX402" t="s">
        <v>74</v>
      </c>
      <c r="AY402" t="s">
        <v>74</v>
      </c>
      <c r="AZ402" t="s">
        <v>74</v>
      </c>
      <c r="BA402" t="s">
        <v>74</v>
      </c>
      <c r="BB402">
        <v>3450</v>
      </c>
      <c r="BC402">
        <v>3480</v>
      </c>
      <c r="BD402" t="s">
        <v>74</v>
      </c>
      <c r="BE402" t="s">
        <v>6613</v>
      </c>
      <c r="BF402" t="str">
        <f>HYPERLINK("http://dx.doi.org/10.1175/MWR3044.1","http://dx.doi.org/10.1175/MWR3044.1")</f>
        <v>http://dx.doi.org/10.1175/MWR3044.1</v>
      </c>
      <c r="BG402" t="s">
        <v>74</v>
      </c>
      <c r="BH402" t="s">
        <v>74</v>
      </c>
      <c r="BI402">
        <v>31</v>
      </c>
      <c r="BJ402" t="s">
        <v>2033</v>
      </c>
      <c r="BK402" t="s">
        <v>1411</v>
      </c>
      <c r="BL402" t="s">
        <v>2033</v>
      </c>
      <c r="BM402" t="s">
        <v>6590</v>
      </c>
      <c r="BN402" t="s">
        <v>74</v>
      </c>
      <c r="BO402" t="s">
        <v>1900</v>
      </c>
      <c r="BP402" t="s">
        <v>74</v>
      </c>
      <c r="BQ402" t="s">
        <v>74</v>
      </c>
      <c r="BR402" t="s">
        <v>101</v>
      </c>
      <c r="BS402" t="s">
        <v>6614</v>
      </c>
      <c r="BT402" t="str">
        <f>HYPERLINK("https%3A%2F%2Fwww.webofscience.com%2Fwos%2Fwoscc%2Ffull-record%2FWOS:000234505200004","View Full Record in Web of Science")</f>
        <v>View Full Record in Web of Science</v>
      </c>
    </row>
    <row r="403" spans="1:72" x14ac:dyDescent="0.15">
      <c r="A403" t="s">
        <v>72</v>
      </c>
      <c r="B403" t="s">
        <v>6615</v>
      </c>
      <c r="C403" t="s">
        <v>74</v>
      </c>
      <c r="D403" t="s">
        <v>74</v>
      </c>
      <c r="E403" t="s">
        <v>74</v>
      </c>
      <c r="F403" t="s">
        <v>6615</v>
      </c>
      <c r="G403" t="s">
        <v>74</v>
      </c>
      <c r="H403" t="s">
        <v>74</v>
      </c>
      <c r="I403" t="s">
        <v>6616</v>
      </c>
      <c r="J403" t="s">
        <v>6571</v>
      </c>
      <c r="K403" t="s">
        <v>74</v>
      </c>
      <c r="L403" t="s">
        <v>74</v>
      </c>
      <c r="M403" t="s">
        <v>77</v>
      </c>
      <c r="N403" t="s">
        <v>335</v>
      </c>
      <c r="O403" t="s">
        <v>6572</v>
      </c>
      <c r="P403" t="s">
        <v>6573</v>
      </c>
      <c r="Q403" t="s">
        <v>6574</v>
      </c>
      <c r="R403" t="s">
        <v>74</v>
      </c>
      <c r="S403" t="s">
        <v>6575</v>
      </c>
      <c r="T403" t="s">
        <v>74</v>
      </c>
      <c r="U403" t="s">
        <v>6617</v>
      </c>
      <c r="V403" t="s">
        <v>6618</v>
      </c>
      <c r="W403" t="s">
        <v>6619</v>
      </c>
      <c r="X403" t="s">
        <v>6620</v>
      </c>
      <c r="Y403" t="s">
        <v>6621</v>
      </c>
      <c r="Z403" t="s">
        <v>6622</v>
      </c>
      <c r="AA403" t="s">
        <v>6623</v>
      </c>
      <c r="AB403" t="s">
        <v>6624</v>
      </c>
      <c r="AC403" t="s">
        <v>74</v>
      </c>
      <c r="AD403" t="s">
        <v>74</v>
      </c>
      <c r="AE403" t="s">
        <v>74</v>
      </c>
      <c r="AF403" t="s">
        <v>74</v>
      </c>
      <c r="AG403">
        <v>42</v>
      </c>
      <c r="AH403">
        <v>35</v>
      </c>
      <c r="AI403">
        <v>37</v>
      </c>
      <c r="AJ403">
        <v>0</v>
      </c>
      <c r="AK403">
        <v>8</v>
      </c>
      <c r="AL403" t="s">
        <v>6583</v>
      </c>
      <c r="AM403" t="s">
        <v>6584</v>
      </c>
      <c r="AN403" t="s">
        <v>6585</v>
      </c>
      <c r="AO403" t="s">
        <v>6586</v>
      </c>
      <c r="AP403" t="s">
        <v>6599</v>
      </c>
      <c r="AQ403" t="s">
        <v>74</v>
      </c>
      <c r="AR403" t="s">
        <v>6587</v>
      </c>
      <c r="AS403" t="s">
        <v>6588</v>
      </c>
      <c r="AT403" t="s">
        <v>5770</v>
      </c>
      <c r="AU403">
        <v>2005</v>
      </c>
      <c r="AV403">
        <v>133</v>
      </c>
      <c r="AW403">
        <v>12</v>
      </c>
      <c r="AX403" t="s">
        <v>74</v>
      </c>
      <c r="AY403" t="s">
        <v>74</v>
      </c>
      <c r="AZ403" t="s">
        <v>74</v>
      </c>
      <c r="BA403" t="s">
        <v>74</v>
      </c>
      <c r="BB403">
        <v>3481</v>
      </c>
      <c r="BC403">
        <v>3497</v>
      </c>
      <c r="BD403" t="s">
        <v>74</v>
      </c>
      <c r="BE403" t="s">
        <v>6625</v>
      </c>
      <c r="BF403" t="str">
        <f>HYPERLINK("http://dx.doi.org/10.1175/MWR3045.1","http://dx.doi.org/10.1175/MWR3045.1")</f>
        <v>http://dx.doi.org/10.1175/MWR3045.1</v>
      </c>
      <c r="BG403" t="s">
        <v>74</v>
      </c>
      <c r="BH403" t="s">
        <v>74</v>
      </c>
      <c r="BI403">
        <v>17</v>
      </c>
      <c r="BJ403" t="s">
        <v>2033</v>
      </c>
      <c r="BK403" t="s">
        <v>1411</v>
      </c>
      <c r="BL403" t="s">
        <v>2033</v>
      </c>
      <c r="BM403" t="s">
        <v>6590</v>
      </c>
      <c r="BN403" t="s">
        <v>74</v>
      </c>
      <c r="BO403" t="s">
        <v>1132</v>
      </c>
      <c r="BP403" t="s">
        <v>74</v>
      </c>
      <c r="BQ403" t="s">
        <v>74</v>
      </c>
      <c r="BR403" t="s">
        <v>101</v>
      </c>
      <c r="BS403" t="s">
        <v>6626</v>
      </c>
      <c r="BT403" t="str">
        <f>HYPERLINK("https%3A%2F%2Fwww.webofscience.com%2Fwos%2Fwoscc%2Ffull-record%2FWOS:000234505200005","View Full Record in Web of Science")</f>
        <v>View Full Record in Web of Science</v>
      </c>
    </row>
    <row r="404" spans="1:72" x14ac:dyDescent="0.15">
      <c r="A404" t="s">
        <v>72</v>
      </c>
      <c r="B404" t="s">
        <v>6627</v>
      </c>
      <c r="C404" t="s">
        <v>74</v>
      </c>
      <c r="D404" t="s">
        <v>74</v>
      </c>
      <c r="E404" t="s">
        <v>74</v>
      </c>
      <c r="F404" t="s">
        <v>6627</v>
      </c>
      <c r="G404" t="s">
        <v>74</v>
      </c>
      <c r="H404" t="s">
        <v>74</v>
      </c>
      <c r="I404" t="s">
        <v>6628</v>
      </c>
      <c r="J404" t="s">
        <v>6571</v>
      </c>
      <c r="K404" t="s">
        <v>74</v>
      </c>
      <c r="L404" t="s">
        <v>74</v>
      </c>
      <c r="M404" t="s">
        <v>77</v>
      </c>
      <c r="N404" t="s">
        <v>335</v>
      </c>
      <c r="O404" t="s">
        <v>6572</v>
      </c>
      <c r="P404" t="s">
        <v>6573</v>
      </c>
      <c r="Q404" t="s">
        <v>6574</v>
      </c>
      <c r="R404" t="s">
        <v>74</v>
      </c>
      <c r="S404" t="s">
        <v>6575</v>
      </c>
      <c r="T404" t="s">
        <v>74</v>
      </c>
      <c r="U404" t="s">
        <v>6629</v>
      </c>
      <c r="V404" t="s">
        <v>6630</v>
      </c>
      <c r="W404" t="s">
        <v>6631</v>
      </c>
      <c r="X404" t="s">
        <v>6632</v>
      </c>
      <c r="Y404" t="s">
        <v>6608</v>
      </c>
      <c r="Z404" t="s">
        <v>6633</v>
      </c>
      <c r="AA404" t="s">
        <v>74</v>
      </c>
      <c r="AB404" t="s">
        <v>74</v>
      </c>
      <c r="AC404" t="s">
        <v>74</v>
      </c>
      <c r="AD404" t="s">
        <v>74</v>
      </c>
      <c r="AE404" t="s">
        <v>74</v>
      </c>
      <c r="AF404" t="s">
        <v>74</v>
      </c>
      <c r="AG404">
        <v>57</v>
      </c>
      <c r="AH404">
        <v>21</v>
      </c>
      <c r="AI404">
        <v>23</v>
      </c>
      <c r="AJ404">
        <v>1</v>
      </c>
      <c r="AK404">
        <v>5</v>
      </c>
      <c r="AL404" t="s">
        <v>6583</v>
      </c>
      <c r="AM404" t="s">
        <v>6584</v>
      </c>
      <c r="AN404" t="s">
        <v>6585</v>
      </c>
      <c r="AO404" t="s">
        <v>6586</v>
      </c>
      <c r="AP404" t="s">
        <v>6599</v>
      </c>
      <c r="AQ404" t="s">
        <v>74</v>
      </c>
      <c r="AR404" t="s">
        <v>6587</v>
      </c>
      <c r="AS404" t="s">
        <v>6588</v>
      </c>
      <c r="AT404" t="s">
        <v>5770</v>
      </c>
      <c r="AU404">
        <v>2005</v>
      </c>
      <c r="AV404">
        <v>133</v>
      </c>
      <c r="AW404">
        <v>12</v>
      </c>
      <c r="AX404" t="s">
        <v>74</v>
      </c>
      <c r="AY404" t="s">
        <v>74</v>
      </c>
      <c r="AZ404" t="s">
        <v>74</v>
      </c>
      <c r="BA404" t="s">
        <v>74</v>
      </c>
      <c r="BB404">
        <v>3498</v>
      </c>
      <c r="BC404">
        <v>3516</v>
      </c>
      <c r="BD404" t="s">
        <v>74</v>
      </c>
      <c r="BE404" t="s">
        <v>6634</v>
      </c>
      <c r="BF404" t="str">
        <f>HYPERLINK("http://dx.doi.org/10.1175/MWR3046.1","http://dx.doi.org/10.1175/MWR3046.1")</f>
        <v>http://dx.doi.org/10.1175/MWR3046.1</v>
      </c>
      <c r="BG404" t="s">
        <v>74</v>
      </c>
      <c r="BH404" t="s">
        <v>74</v>
      </c>
      <c r="BI404">
        <v>19</v>
      </c>
      <c r="BJ404" t="s">
        <v>2033</v>
      </c>
      <c r="BK404" t="s">
        <v>1411</v>
      </c>
      <c r="BL404" t="s">
        <v>2033</v>
      </c>
      <c r="BM404" t="s">
        <v>6590</v>
      </c>
      <c r="BN404" t="s">
        <v>74</v>
      </c>
      <c r="BO404" t="s">
        <v>1132</v>
      </c>
      <c r="BP404" t="s">
        <v>74</v>
      </c>
      <c r="BQ404" t="s">
        <v>74</v>
      </c>
      <c r="BR404" t="s">
        <v>101</v>
      </c>
      <c r="BS404" t="s">
        <v>6635</v>
      </c>
      <c r="BT404" t="str">
        <f>HYPERLINK("https%3A%2F%2Fwww.webofscience.com%2Fwos%2Fwoscc%2Ffull-record%2FWOS:000234505200006","View Full Record in Web of Science")</f>
        <v>View Full Record in Web of Science</v>
      </c>
    </row>
    <row r="405" spans="1:72" x14ac:dyDescent="0.15">
      <c r="A405" t="s">
        <v>72</v>
      </c>
      <c r="B405" t="s">
        <v>6636</v>
      </c>
      <c r="C405" t="s">
        <v>74</v>
      </c>
      <c r="D405" t="s">
        <v>74</v>
      </c>
      <c r="E405" t="s">
        <v>74</v>
      </c>
      <c r="F405" t="s">
        <v>6636</v>
      </c>
      <c r="G405" t="s">
        <v>74</v>
      </c>
      <c r="H405" t="s">
        <v>74</v>
      </c>
      <c r="I405" t="s">
        <v>6637</v>
      </c>
      <c r="J405" t="s">
        <v>6571</v>
      </c>
      <c r="K405" t="s">
        <v>74</v>
      </c>
      <c r="L405" t="s">
        <v>74</v>
      </c>
      <c r="M405" t="s">
        <v>77</v>
      </c>
      <c r="N405" t="s">
        <v>335</v>
      </c>
      <c r="O405" t="s">
        <v>6572</v>
      </c>
      <c r="P405" t="s">
        <v>6573</v>
      </c>
      <c r="Q405" t="s">
        <v>6574</v>
      </c>
      <c r="R405" t="s">
        <v>74</v>
      </c>
      <c r="S405" t="s">
        <v>6575</v>
      </c>
      <c r="T405" t="s">
        <v>74</v>
      </c>
      <c r="U405" t="s">
        <v>6638</v>
      </c>
      <c r="V405" t="s">
        <v>6639</v>
      </c>
      <c r="W405" t="s">
        <v>6631</v>
      </c>
      <c r="X405" t="s">
        <v>6632</v>
      </c>
      <c r="Y405" t="s">
        <v>6640</v>
      </c>
      <c r="Z405" t="s">
        <v>6641</v>
      </c>
      <c r="AA405" t="s">
        <v>74</v>
      </c>
      <c r="AB405" t="s">
        <v>74</v>
      </c>
      <c r="AC405" t="s">
        <v>74</v>
      </c>
      <c r="AD405" t="s">
        <v>74</v>
      </c>
      <c r="AE405" t="s">
        <v>74</v>
      </c>
      <c r="AF405" t="s">
        <v>74</v>
      </c>
      <c r="AG405">
        <v>28</v>
      </c>
      <c r="AH405">
        <v>9</v>
      </c>
      <c r="AI405">
        <v>9</v>
      </c>
      <c r="AJ405">
        <v>0</v>
      </c>
      <c r="AK405">
        <v>3</v>
      </c>
      <c r="AL405" t="s">
        <v>6583</v>
      </c>
      <c r="AM405" t="s">
        <v>6584</v>
      </c>
      <c r="AN405" t="s">
        <v>6585</v>
      </c>
      <c r="AO405" t="s">
        <v>6586</v>
      </c>
      <c r="AP405" t="s">
        <v>74</v>
      </c>
      <c r="AQ405" t="s">
        <v>74</v>
      </c>
      <c r="AR405" t="s">
        <v>6587</v>
      </c>
      <c r="AS405" t="s">
        <v>6588</v>
      </c>
      <c r="AT405" t="s">
        <v>5770</v>
      </c>
      <c r="AU405">
        <v>2005</v>
      </c>
      <c r="AV405">
        <v>133</v>
      </c>
      <c r="AW405">
        <v>12</v>
      </c>
      <c r="AX405" t="s">
        <v>74</v>
      </c>
      <c r="AY405" t="s">
        <v>74</v>
      </c>
      <c r="AZ405" t="s">
        <v>74</v>
      </c>
      <c r="BA405" t="s">
        <v>74</v>
      </c>
      <c r="BB405">
        <v>3517</v>
      </c>
      <c r="BC405">
        <v>3526</v>
      </c>
      <c r="BD405" t="s">
        <v>74</v>
      </c>
      <c r="BE405" t="s">
        <v>6642</v>
      </c>
      <c r="BF405" t="str">
        <f>HYPERLINK("http://dx.doi.org/10.1175/MWR3048.1","http://dx.doi.org/10.1175/MWR3048.1")</f>
        <v>http://dx.doi.org/10.1175/MWR3048.1</v>
      </c>
      <c r="BG405" t="s">
        <v>74</v>
      </c>
      <c r="BH405" t="s">
        <v>74</v>
      </c>
      <c r="BI405">
        <v>10</v>
      </c>
      <c r="BJ405" t="s">
        <v>2033</v>
      </c>
      <c r="BK405" t="s">
        <v>356</v>
      </c>
      <c r="BL405" t="s">
        <v>2033</v>
      </c>
      <c r="BM405" t="s">
        <v>6590</v>
      </c>
      <c r="BN405" t="s">
        <v>74</v>
      </c>
      <c r="BO405" t="s">
        <v>1900</v>
      </c>
      <c r="BP405" t="s">
        <v>74</v>
      </c>
      <c r="BQ405" t="s">
        <v>74</v>
      </c>
      <c r="BR405" t="s">
        <v>101</v>
      </c>
      <c r="BS405" t="s">
        <v>6643</v>
      </c>
      <c r="BT405" t="str">
        <f>HYPERLINK("https%3A%2F%2Fwww.webofscience.com%2Fwos%2Fwoscc%2Ffull-record%2FWOS:000234505200007","View Full Record in Web of Science")</f>
        <v>View Full Record in Web of Science</v>
      </c>
    </row>
    <row r="406" spans="1:72" x14ac:dyDescent="0.15">
      <c r="A406" t="s">
        <v>72</v>
      </c>
      <c r="B406" t="s">
        <v>6644</v>
      </c>
      <c r="C406" t="s">
        <v>74</v>
      </c>
      <c r="D406" t="s">
        <v>74</v>
      </c>
      <c r="E406" t="s">
        <v>74</v>
      </c>
      <c r="F406" t="s">
        <v>6644</v>
      </c>
      <c r="G406" t="s">
        <v>74</v>
      </c>
      <c r="H406" t="s">
        <v>74</v>
      </c>
      <c r="I406" t="s">
        <v>6645</v>
      </c>
      <c r="J406" t="s">
        <v>6571</v>
      </c>
      <c r="K406" t="s">
        <v>74</v>
      </c>
      <c r="L406" t="s">
        <v>74</v>
      </c>
      <c r="M406" t="s">
        <v>77</v>
      </c>
      <c r="N406" t="s">
        <v>335</v>
      </c>
      <c r="O406" t="s">
        <v>6572</v>
      </c>
      <c r="P406" t="s">
        <v>6573</v>
      </c>
      <c r="Q406" t="s">
        <v>6574</v>
      </c>
      <c r="R406" t="s">
        <v>74</v>
      </c>
      <c r="S406" t="s">
        <v>6575</v>
      </c>
      <c r="T406" t="s">
        <v>74</v>
      </c>
      <c r="U406" t="s">
        <v>6646</v>
      </c>
      <c r="V406" t="s">
        <v>6647</v>
      </c>
      <c r="W406" t="s">
        <v>6648</v>
      </c>
      <c r="X406" t="s">
        <v>6649</v>
      </c>
      <c r="Y406" t="s">
        <v>6650</v>
      </c>
      <c r="Z406" t="s">
        <v>6651</v>
      </c>
      <c r="AA406" t="s">
        <v>6652</v>
      </c>
      <c r="AB406" t="s">
        <v>74</v>
      </c>
      <c r="AC406" t="s">
        <v>74</v>
      </c>
      <c r="AD406" t="s">
        <v>74</v>
      </c>
      <c r="AE406" t="s">
        <v>74</v>
      </c>
      <c r="AF406" t="s">
        <v>74</v>
      </c>
      <c r="AG406">
        <v>24</v>
      </c>
      <c r="AH406">
        <v>45</v>
      </c>
      <c r="AI406">
        <v>54</v>
      </c>
      <c r="AJ406">
        <v>0</v>
      </c>
      <c r="AK406">
        <v>5</v>
      </c>
      <c r="AL406" t="s">
        <v>6583</v>
      </c>
      <c r="AM406" t="s">
        <v>6584</v>
      </c>
      <c r="AN406" t="s">
        <v>6585</v>
      </c>
      <c r="AO406" t="s">
        <v>6586</v>
      </c>
      <c r="AP406" t="s">
        <v>6599</v>
      </c>
      <c r="AQ406" t="s">
        <v>74</v>
      </c>
      <c r="AR406" t="s">
        <v>6587</v>
      </c>
      <c r="AS406" t="s">
        <v>6588</v>
      </c>
      <c r="AT406" t="s">
        <v>5770</v>
      </c>
      <c r="AU406">
        <v>2005</v>
      </c>
      <c r="AV406">
        <v>133</v>
      </c>
      <c r="AW406">
        <v>12</v>
      </c>
      <c r="AX406" t="s">
        <v>74</v>
      </c>
      <c r="AY406" t="s">
        <v>74</v>
      </c>
      <c r="AZ406" t="s">
        <v>74</v>
      </c>
      <c r="BA406" t="s">
        <v>74</v>
      </c>
      <c r="BB406">
        <v>3527</v>
      </c>
      <c r="BC406">
        <v>3547</v>
      </c>
      <c r="BD406" t="s">
        <v>74</v>
      </c>
      <c r="BE406" t="s">
        <v>6653</v>
      </c>
      <c r="BF406" t="str">
        <f>HYPERLINK("http://dx.doi.org/10.1175/MWR3049.1","http://dx.doi.org/10.1175/MWR3049.1")</f>
        <v>http://dx.doi.org/10.1175/MWR3049.1</v>
      </c>
      <c r="BG406" t="s">
        <v>74</v>
      </c>
      <c r="BH406" t="s">
        <v>74</v>
      </c>
      <c r="BI406">
        <v>21</v>
      </c>
      <c r="BJ406" t="s">
        <v>2033</v>
      </c>
      <c r="BK406" t="s">
        <v>1411</v>
      </c>
      <c r="BL406" t="s">
        <v>2033</v>
      </c>
      <c r="BM406" t="s">
        <v>6590</v>
      </c>
      <c r="BN406" t="s">
        <v>74</v>
      </c>
      <c r="BO406" t="s">
        <v>2248</v>
      </c>
      <c r="BP406" t="s">
        <v>74</v>
      </c>
      <c r="BQ406" t="s">
        <v>74</v>
      </c>
      <c r="BR406" t="s">
        <v>101</v>
      </c>
      <c r="BS406" t="s">
        <v>6654</v>
      </c>
      <c r="BT406" t="str">
        <f>HYPERLINK("https%3A%2F%2Fwww.webofscience.com%2Fwos%2Fwoscc%2Ffull-record%2FWOS:000234505200008","View Full Record in Web of Science")</f>
        <v>View Full Record in Web of Science</v>
      </c>
    </row>
    <row r="407" spans="1:72" x14ac:dyDescent="0.15">
      <c r="A407" t="s">
        <v>72</v>
      </c>
      <c r="B407" t="s">
        <v>6655</v>
      </c>
      <c r="C407" t="s">
        <v>74</v>
      </c>
      <c r="D407" t="s">
        <v>74</v>
      </c>
      <c r="E407" t="s">
        <v>74</v>
      </c>
      <c r="F407" t="s">
        <v>6655</v>
      </c>
      <c r="G407" t="s">
        <v>74</v>
      </c>
      <c r="H407" t="s">
        <v>74</v>
      </c>
      <c r="I407" t="s">
        <v>6656</v>
      </c>
      <c r="J407" t="s">
        <v>6571</v>
      </c>
      <c r="K407" t="s">
        <v>74</v>
      </c>
      <c r="L407" t="s">
        <v>74</v>
      </c>
      <c r="M407" t="s">
        <v>77</v>
      </c>
      <c r="N407" t="s">
        <v>335</v>
      </c>
      <c r="O407" t="s">
        <v>6572</v>
      </c>
      <c r="P407" t="s">
        <v>6573</v>
      </c>
      <c r="Q407" t="s">
        <v>6574</v>
      </c>
      <c r="R407" t="s">
        <v>74</v>
      </c>
      <c r="S407" t="s">
        <v>6575</v>
      </c>
      <c r="T407" t="s">
        <v>74</v>
      </c>
      <c r="U407" t="s">
        <v>6657</v>
      </c>
      <c r="V407" t="s">
        <v>6658</v>
      </c>
      <c r="W407" t="s">
        <v>6659</v>
      </c>
      <c r="X407" t="s">
        <v>6660</v>
      </c>
      <c r="Y407" t="s">
        <v>6661</v>
      </c>
      <c r="Z407" t="s">
        <v>6662</v>
      </c>
      <c r="AA407" t="s">
        <v>74</v>
      </c>
      <c r="AB407" t="s">
        <v>74</v>
      </c>
      <c r="AC407" t="s">
        <v>74</v>
      </c>
      <c r="AD407" t="s">
        <v>74</v>
      </c>
      <c r="AE407" t="s">
        <v>74</v>
      </c>
      <c r="AF407" t="s">
        <v>74</v>
      </c>
      <c r="AG407">
        <v>10</v>
      </c>
      <c r="AH407">
        <v>8</v>
      </c>
      <c r="AI407">
        <v>9</v>
      </c>
      <c r="AJ407">
        <v>0</v>
      </c>
      <c r="AK407">
        <v>1</v>
      </c>
      <c r="AL407" t="s">
        <v>6583</v>
      </c>
      <c r="AM407" t="s">
        <v>6584</v>
      </c>
      <c r="AN407" t="s">
        <v>6585</v>
      </c>
      <c r="AO407" t="s">
        <v>6586</v>
      </c>
      <c r="AP407" t="s">
        <v>74</v>
      </c>
      <c r="AQ407" t="s">
        <v>74</v>
      </c>
      <c r="AR407" t="s">
        <v>6587</v>
      </c>
      <c r="AS407" t="s">
        <v>6588</v>
      </c>
      <c r="AT407" t="s">
        <v>5770</v>
      </c>
      <c r="AU407">
        <v>2005</v>
      </c>
      <c r="AV407">
        <v>133</v>
      </c>
      <c r="AW407">
        <v>12</v>
      </c>
      <c r="AX407" t="s">
        <v>74</v>
      </c>
      <c r="AY407" t="s">
        <v>74</v>
      </c>
      <c r="AZ407" t="s">
        <v>74</v>
      </c>
      <c r="BA407" t="s">
        <v>74</v>
      </c>
      <c r="BB407">
        <v>3548</v>
      </c>
      <c r="BC407">
        <v>3561</v>
      </c>
      <c r="BD407" t="s">
        <v>74</v>
      </c>
      <c r="BE407" t="s">
        <v>6663</v>
      </c>
      <c r="BF407" t="str">
        <f>HYPERLINK("http://dx.doi.org/10.1175/MWR3050.1","http://dx.doi.org/10.1175/MWR3050.1")</f>
        <v>http://dx.doi.org/10.1175/MWR3050.1</v>
      </c>
      <c r="BG407" t="s">
        <v>74</v>
      </c>
      <c r="BH407" t="s">
        <v>74</v>
      </c>
      <c r="BI407">
        <v>14</v>
      </c>
      <c r="BJ407" t="s">
        <v>2033</v>
      </c>
      <c r="BK407" t="s">
        <v>356</v>
      </c>
      <c r="BL407" t="s">
        <v>2033</v>
      </c>
      <c r="BM407" t="s">
        <v>6590</v>
      </c>
      <c r="BN407" t="s">
        <v>74</v>
      </c>
      <c r="BO407" t="s">
        <v>1132</v>
      </c>
      <c r="BP407" t="s">
        <v>74</v>
      </c>
      <c r="BQ407" t="s">
        <v>74</v>
      </c>
      <c r="BR407" t="s">
        <v>101</v>
      </c>
      <c r="BS407" t="s">
        <v>6664</v>
      </c>
      <c r="BT407" t="str">
        <f>HYPERLINK("https%3A%2F%2Fwww.webofscience.com%2Fwos%2Fwoscc%2Ffull-record%2FWOS:000234505200009","View Full Record in Web of Science")</f>
        <v>View Full Record in Web of Science</v>
      </c>
    </row>
    <row r="408" spans="1:72" x14ac:dyDescent="0.15">
      <c r="A408" t="s">
        <v>72</v>
      </c>
      <c r="B408" t="s">
        <v>6665</v>
      </c>
      <c r="C408" t="s">
        <v>74</v>
      </c>
      <c r="D408" t="s">
        <v>74</v>
      </c>
      <c r="E408" t="s">
        <v>74</v>
      </c>
      <c r="F408" t="s">
        <v>6665</v>
      </c>
      <c r="G408" t="s">
        <v>74</v>
      </c>
      <c r="H408" t="s">
        <v>74</v>
      </c>
      <c r="I408" t="s">
        <v>6666</v>
      </c>
      <c r="J408" t="s">
        <v>6667</v>
      </c>
      <c r="K408" t="s">
        <v>74</v>
      </c>
      <c r="L408" t="s">
        <v>74</v>
      </c>
      <c r="M408" t="s">
        <v>77</v>
      </c>
      <c r="N408" t="s">
        <v>2596</v>
      </c>
      <c r="O408" t="s">
        <v>74</v>
      </c>
      <c r="P408" t="s">
        <v>74</v>
      </c>
      <c r="Q408" t="s">
        <v>74</v>
      </c>
      <c r="R408" t="s">
        <v>74</v>
      </c>
      <c r="S408" t="s">
        <v>74</v>
      </c>
      <c r="T408" t="s">
        <v>74</v>
      </c>
      <c r="U408" t="s">
        <v>74</v>
      </c>
      <c r="V408" t="s">
        <v>6668</v>
      </c>
      <c r="W408" t="s">
        <v>74</v>
      </c>
      <c r="X408" t="s">
        <v>74</v>
      </c>
      <c r="Y408" t="s">
        <v>74</v>
      </c>
      <c r="Z408" t="s">
        <v>74</v>
      </c>
      <c r="AA408" t="s">
        <v>74</v>
      </c>
      <c r="AB408" t="s">
        <v>74</v>
      </c>
      <c r="AC408" t="s">
        <v>74</v>
      </c>
      <c r="AD408" t="s">
        <v>74</v>
      </c>
      <c r="AE408" t="s">
        <v>74</v>
      </c>
      <c r="AF408" t="s">
        <v>74</v>
      </c>
      <c r="AG408">
        <v>3</v>
      </c>
      <c r="AH408">
        <v>1</v>
      </c>
      <c r="AI408">
        <v>1</v>
      </c>
      <c r="AJ408">
        <v>0</v>
      </c>
      <c r="AK408">
        <v>3</v>
      </c>
      <c r="AL408" t="s">
        <v>6669</v>
      </c>
      <c r="AM408" t="s">
        <v>1055</v>
      </c>
      <c r="AN408" t="s">
        <v>6670</v>
      </c>
      <c r="AO408" t="s">
        <v>6671</v>
      </c>
      <c r="AP408" t="s">
        <v>6672</v>
      </c>
      <c r="AQ408" t="s">
        <v>74</v>
      </c>
      <c r="AR408" t="s">
        <v>6667</v>
      </c>
      <c r="AS408" t="s">
        <v>6673</v>
      </c>
      <c r="AT408" t="s">
        <v>6354</v>
      </c>
      <c r="AU408">
        <v>2005</v>
      </c>
      <c r="AV408">
        <v>438</v>
      </c>
      <c r="AW408">
        <v>7068</v>
      </c>
      <c r="AX408" t="s">
        <v>74</v>
      </c>
      <c r="AY408" t="s">
        <v>74</v>
      </c>
      <c r="AZ408" t="s">
        <v>74</v>
      </c>
      <c r="BA408" t="s">
        <v>74</v>
      </c>
      <c r="BB408">
        <v>536</v>
      </c>
      <c r="BC408">
        <v>537</v>
      </c>
      <c r="BD408" t="s">
        <v>74</v>
      </c>
      <c r="BE408" t="s">
        <v>6674</v>
      </c>
      <c r="BF408" t="str">
        <f>HYPERLINK("http://dx.doi.org/10.1038/438536b","http://dx.doi.org/10.1038/438536b")</f>
        <v>http://dx.doi.org/10.1038/438536b</v>
      </c>
      <c r="BG408" t="s">
        <v>74</v>
      </c>
      <c r="BH408" t="s">
        <v>74</v>
      </c>
      <c r="BI408">
        <v>2</v>
      </c>
      <c r="BJ408" t="s">
        <v>3495</v>
      </c>
      <c r="BK408" t="s">
        <v>98</v>
      </c>
      <c r="BL408" t="s">
        <v>3496</v>
      </c>
      <c r="BM408" t="s">
        <v>6675</v>
      </c>
      <c r="BN408">
        <v>16319846</v>
      </c>
      <c r="BO408" t="s">
        <v>1900</v>
      </c>
      <c r="BP408" t="s">
        <v>74</v>
      </c>
      <c r="BQ408" t="s">
        <v>74</v>
      </c>
      <c r="BR408" t="s">
        <v>101</v>
      </c>
      <c r="BS408" t="s">
        <v>6676</v>
      </c>
      <c r="BT408" t="str">
        <f>HYPERLINK("https%3A%2F%2Fwww.webofscience.com%2Fwos%2Fwoscc%2Ffull-record%2FWOS:000233593100005","View Full Record in Web of Science")</f>
        <v>View Full Record in Web of Science</v>
      </c>
    </row>
    <row r="409" spans="1:72" x14ac:dyDescent="0.15">
      <c r="A409" t="s">
        <v>72</v>
      </c>
      <c r="B409" t="s">
        <v>6677</v>
      </c>
      <c r="C409" t="s">
        <v>74</v>
      </c>
      <c r="D409" t="s">
        <v>74</v>
      </c>
      <c r="E409" t="s">
        <v>74</v>
      </c>
      <c r="F409" t="s">
        <v>6677</v>
      </c>
      <c r="G409" t="s">
        <v>74</v>
      </c>
      <c r="H409" t="s">
        <v>74</v>
      </c>
      <c r="I409" t="s">
        <v>6678</v>
      </c>
      <c r="J409" t="s">
        <v>3927</v>
      </c>
      <c r="K409" t="s">
        <v>74</v>
      </c>
      <c r="L409" t="s">
        <v>74</v>
      </c>
      <c r="M409" t="s">
        <v>77</v>
      </c>
      <c r="N409" t="s">
        <v>78</v>
      </c>
      <c r="O409" t="s">
        <v>74</v>
      </c>
      <c r="P409" t="s">
        <v>74</v>
      </c>
      <c r="Q409" t="s">
        <v>74</v>
      </c>
      <c r="R409" t="s">
        <v>74</v>
      </c>
      <c r="S409" t="s">
        <v>74</v>
      </c>
      <c r="T409" t="s">
        <v>6679</v>
      </c>
      <c r="U409" t="s">
        <v>6680</v>
      </c>
      <c r="V409" t="s">
        <v>6681</v>
      </c>
      <c r="W409" t="s">
        <v>6682</v>
      </c>
      <c r="X409" t="s">
        <v>6683</v>
      </c>
      <c r="Y409" t="s">
        <v>6684</v>
      </c>
      <c r="Z409" t="s">
        <v>6685</v>
      </c>
      <c r="AA409" t="s">
        <v>6686</v>
      </c>
      <c r="AB409" t="s">
        <v>74</v>
      </c>
      <c r="AC409" t="s">
        <v>74</v>
      </c>
      <c r="AD409" t="s">
        <v>74</v>
      </c>
      <c r="AE409" t="s">
        <v>74</v>
      </c>
      <c r="AF409" t="s">
        <v>74</v>
      </c>
      <c r="AG409">
        <v>95</v>
      </c>
      <c r="AH409">
        <v>175</v>
      </c>
      <c r="AI409">
        <v>205</v>
      </c>
      <c r="AJ409">
        <v>0</v>
      </c>
      <c r="AK409">
        <v>86</v>
      </c>
      <c r="AL409" t="s">
        <v>88</v>
      </c>
      <c r="AM409" t="s">
        <v>162</v>
      </c>
      <c r="AN409" t="s">
        <v>163</v>
      </c>
      <c r="AO409" t="s">
        <v>3937</v>
      </c>
      <c r="AP409" t="s">
        <v>3938</v>
      </c>
      <c r="AQ409" t="s">
        <v>74</v>
      </c>
      <c r="AR409" t="s">
        <v>3939</v>
      </c>
      <c r="AS409" t="s">
        <v>3940</v>
      </c>
      <c r="AT409" t="s">
        <v>5770</v>
      </c>
      <c r="AU409">
        <v>2005</v>
      </c>
      <c r="AV409">
        <v>181</v>
      </c>
      <c r="AW409">
        <v>2</v>
      </c>
      <c r="AX409" t="s">
        <v>74</v>
      </c>
      <c r="AY409" t="s">
        <v>74</v>
      </c>
      <c r="AZ409" t="s">
        <v>74</v>
      </c>
      <c r="BA409" t="s">
        <v>74</v>
      </c>
      <c r="BB409">
        <v>227</v>
      </c>
      <c r="BC409">
        <v>241</v>
      </c>
      <c r="BD409" t="s">
        <v>74</v>
      </c>
      <c r="BE409" t="s">
        <v>6687</v>
      </c>
      <c r="BF409" t="str">
        <f>HYPERLINK("http://dx.doi.org/10.1007/s11258-005-7147-y","http://dx.doi.org/10.1007/s11258-005-7147-y")</f>
        <v>http://dx.doi.org/10.1007/s11258-005-7147-y</v>
      </c>
      <c r="BG409" t="s">
        <v>74</v>
      </c>
      <c r="BH409" t="s">
        <v>74</v>
      </c>
      <c r="BI409">
        <v>15</v>
      </c>
      <c r="BJ409" t="s">
        <v>3942</v>
      </c>
      <c r="BK409" t="s">
        <v>98</v>
      </c>
      <c r="BL409" t="s">
        <v>3943</v>
      </c>
      <c r="BM409" t="s">
        <v>6688</v>
      </c>
      <c r="BN409" t="s">
        <v>74</v>
      </c>
      <c r="BO409" t="s">
        <v>74</v>
      </c>
      <c r="BP409" t="s">
        <v>74</v>
      </c>
      <c r="BQ409" t="s">
        <v>74</v>
      </c>
      <c r="BR409" t="s">
        <v>101</v>
      </c>
      <c r="BS409" t="s">
        <v>6689</v>
      </c>
      <c r="BT409" t="str">
        <f>HYPERLINK("https%3A%2F%2Fwww.webofscience.com%2Fwos%2Fwoscc%2Ffull-record%2FWOS:000233519900007","View Full Record in Web of Science")</f>
        <v>View Full Record in Web of Science</v>
      </c>
    </row>
    <row r="410" spans="1:72" x14ac:dyDescent="0.15">
      <c r="A410" t="s">
        <v>72</v>
      </c>
      <c r="B410" t="s">
        <v>6690</v>
      </c>
      <c r="C410" t="s">
        <v>74</v>
      </c>
      <c r="D410" t="s">
        <v>74</v>
      </c>
      <c r="E410" t="s">
        <v>74</v>
      </c>
      <c r="F410" t="s">
        <v>6690</v>
      </c>
      <c r="G410" t="s">
        <v>74</v>
      </c>
      <c r="H410" t="s">
        <v>74</v>
      </c>
      <c r="I410" t="s">
        <v>6691</v>
      </c>
      <c r="J410" t="s">
        <v>3975</v>
      </c>
      <c r="K410" t="s">
        <v>74</v>
      </c>
      <c r="L410" t="s">
        <v>74</v>
      </c>
      <c r="M410" t="s">
        <v>77</v>
      </c>
      <c r="N410" t="s">
        <v>289</v>
      </c>
      <c r="O410" t="s">
        <v>74</v>
      </c>
      <c r="P410" t="s">
        <v>74</v>
      </c>
      <c r="Q410" t="s">
        <v>74</v>
      </c>
      <c r="R410" t="s">
        <v>74</v>
      </c>
      <c r="S410" t="s">
        <v>74</v>
      </c>
      <c r="T410" t="s">
        <v>74</v>
      </c>
      <c r="U410" t="s">
        <v>6692</v>
      </c>
      <c r="V410" t="s">
        <v>6693</v>
      </c>
      <c r="W410" t="s">
        <v>6694</v>
      </c>
      <c r="X410" t="s">
        <v>74</v>
      </c>
      <c r="Y410" t="s">
        <v>6695</v>
      </c>
      <c r="Z410" t="s">
        <v>6696</v>
      </c>
      <c r="AA410" t="s">
        <v>74</v>
      </c>
      <c r="AB410" t="s">
        <v>74</v>
      </c>
      <c r="AC410" t="s">
        <v>74</v>
      </c>
      <c r="AD410" t="s">
        <v>74</v>
      </c>
      <c r="AE410" t="s">
        <v>74</v>
      </c>
      <c r="AF410" t="s">
        <v>74</v>
      </c>
      <c r="AG410">
        <v>100</v>
      </c>
      <c r="AH410">
        <v>168</v>
      </c>
      <c r="AI410">
        <v>213</v>
      </c>
      <c r="AJ410">
        <v>4</v>
      </c>
      <c r="AK410">
        <v>61</v>
      </c>
      <c r="AL410" t="s">
        <v>88</v>
      </c>
      <c r="AM410" t="s">
        <v>89</v>
      </c>
      <c r="AN410" t="s">
        <v>3984</v>
      </c>
      <c r="AO410" t="s">
        <v>3985</v>
      </c>
      <c r="AP410" t="s">
        <v>3986</v>
      </c>
      <c r="AQ410" t="s">
        <v>74</v>
      </c>
      <c r="AR410" t="s">
        <v>3987</v>
      </c>
      <c r="AS410" t="s">
        <v>3988</v>
      </c>
      <c r="AT410" t="s">
        <v>5770</v>
      </c>
      <c r="AU410">
        <v>2005</v>
      </c>
      <c r="AV410">
        <v>29</v>
      </c>
      <c r="AW410">
        <v>1</v>
      </c>
      <c r="AX410" t="s">
        <v>74</v>
      </c>
      <c r="AY410" t="s">
        <v>74</v>
      </c>
      <c r="AZ410" t="s">
        <v>74</v>
      </c>
      <c r="BA410" t="s">
        <v>74</v>
      </c>
      <c r="BB410">
        <v>1</v>
      </c>
      <c r="BC410">
        <v>22</v>
      </c>
      <c r="BD410" t="s">
        <v>74</v>
      </c>
      <c r="BE410" t="s">
        <v>6697</v>
      </c>
      <c r="BF410" t="str">
        <f>HYPERLINK("http://dx.doi.org/10.1007/s00300-005-0058-5","http://dx.doi.org/10.1007/s00300-005-0058-5")</f>
        <v>http://dx.doi.org/10.1007/s00300-005-0058-5</v>
      </c>
      <c r="BG410" t="s">
        <v>74</v>
      </c>
      <c r="BH410" t="s">
        <v>74</v>
      </c>
      <c r="BI410">
        <v>22</v>
      </c>
      <c r="BJ410" t="s">
        <v>3990</v>
      </c>
      <c r="BK410" t="s">
        <v>98</v>
      </c>
      <c r="BL410" t="s">
        <v>147</v>
      </c>
      <c r="BM410" t="s">
        <v>6698</v>
      </c>
      <c r="BN410" t="s">
        <v>74</v>
      </c>
      <c r="BO410" t="s">
        <v>74</v>
      </c>
      <c r="BP410" t="s">
        <v>74</v>
      </c>
      <c r="BQ410" t="s">
        <v>74</v>
      </c>
      <c r="BR410" t="s">
        <v>101</v>
      </c>
      <c r="BS410" t="s">
        <v>6699</v>
      </c>
      <c r="BT410" t="str">
        <f>HYPERLINK("https%3A%2F%2Fwww.webofscience.com%2Fwos%2Fwoscc%2Ffull-record%2FWOS:000233869100001","View Full Record in Web of Science")</f>
        <v>View Full Record in Web of Science</v>
      </c>
    </row>
    <row r="411" spans="1:72" x14ac:dyDescent="0.15">
      <c r="A411" t="s">
        <v>72</v>
      </c>
      <c r="B411" t="s">
        <v>6700</v>
      </c>
      <c r="C411" t="s">
        <v>74</v>
      </c>
      <c r="D411" t="s">
        <v>74</v>
      </c>
      <c r="E411" t="s">
        <v>74</v>
      </c>
      <c r="F411" t="s">
        <v>6700</v>
      </c>
      <c r="G411" t="s">
        <v>74</v>
      </c>
      <c r="H411" t="s">
        <v>74</v>
      </c>
      <c r="I411" t="s">
        <v>6701</v>
      </c>
      <c r="J411" t="s">
        <v>3975</v>
      </c>
      <c r="K411" t="s">
        <v>74</v>
      </c>
      <c r="L411" t="s">
        <v>74</v>
      </c>
      <c r="M411" t="s">
        <v>77</v>
      </c>
      <c r="N411" t="s">
        <v>78</v>
      </c>
      <c r="O411" t="s">
        <v>74</v>
      </c>
      <c r="P411" t="s">
        <v>74</v>
      </c>
      <c r="Q411" t="s">
        <v>74</v>
      </c>
      <c r="R411" t="s">
        <v>74</v>
      </c>
      <c r="S411" t="s">
        <v>74</v>
      </c>
      <c r="T411" t="s">
        <v>74</v>
      </c>
      <c r="U411" t="s">
        <v>6702</v>
      </c>
      <c r="V411" t="s">
        <v>6703</v>
      </c>
      <c r="W411" t="s">
        <v>6704</v>
      </c>
      <c r="X411" t="s">
        <v>6705</v>
      </c>
      <c r="Y411" t="s">
        <v>6706</v>
      </c>
      <c r="Z411" t="s">
        <v>6707</v>
      </c>
      <c r="AA411" t="s">
        <v>74</v>
      </c>
      <c r="AB411" t="s">
        <v>74</v>
      </c>
      <c r="AC411" t="s">
        <v>74</v>
      </c>
      <c r="AD411" t="s">
        <v>74</v>
      </c>
      <c r="AE411" t="s">
        <v>74</v>
      </c>
      <c r="AF411" t="s">
        <v>74</v>
      </c>
      <c r="AG411">
        <v>19</v>
      </c>
      <c r="AH411">
        <v>4</v>
      </c>
      <c r="AI411">
        <v>4</v>
      </c>
      <c r="AJ411">
        <v>0</v>
      </c>
      <c r="AK411">
        <v>0</v>
      </c>
      <c r="AL411" t="s">
        <v>88</v>
      </c>
      <c r="AM411" t="s">
        <v>89</v>
      </c>
      <c r="AN411" t="s">
        <v>3984</v>
      </c>
      <c r="AO411" t="s">
        <v>3985</v>
      </c>
      <c r="AP411" t="s">
        <v>3986</v>
      </c>
      <c r="AQ411" t="s">
        <v>74</v>
      </c>
      <c r="AR411" t="s">
        <v>3987</v>
      </c>
      <c r="AS411" t="s">
        <v>3988</v>
      </c>
      <c r="AT411" t="s">
        <v>5770</v>
      </c>
      <c r="AU411">
        <v>2005</v>
      </c>
      <c r="AV411">
        <v>29</v>
      </c>
      <c r="AW411">
        <v>1</v>
      </c>
      <c r="AX411" t="s">
        <v>74</v>
      </c>
      <c r="AY411" t="s">
        <v>74</v>
      </c>
      <c r="AZ411" t="s">
        <v>74</v>
      </c>
      <c r="BA411" t="s">
        <v>74</v>
      </c>
      <c r="BB411">
        <v>23</v>
      </c>
      <c r="BC411">
        <v>26</v>
      </c>
      <c r="BD411" t="s">
        <v>74</v>
      </c>
      <c r="BE411" t="s">
        <v>6708</v>
      </c>
      <c r="BF411" t="str">
        <f>HYPERLINK("http://dx.doi.org/10.1007/s00300-005-0033-1","http://dx.doi.org/10.1007/s00300-005-0033-1")</f>
        <v>http://dx.doi.org/10.1007/s00300-005-0033-1</v>
      </c>
      <c r="BG411" t="s">
        <v>74</v>
      </c>
      <c r="BH411" t="s">
        <v>74</v>
      </c>
      <c r="BI411">
        <v>4</v>
      </c>
      <c r="BJ411" t="s">
        <v>3990</v>
      </c>
      <c r="BK411" t="s">
        <v>98</v>
      </c>
      <c r="BL411" t="s">
        <v>147</v>
      </c>
      <c r="BM411" t="s">
        <v>6698</v>
      </c>
      <c r="BN411" t="s">
        <v>74</v>
      </c>
      <c r="BO411" t="s">
        <v>74</v>
      </c>
      <c r="BP411" t="s">
        <v>74</v>
      </c>
      <c r="BQ411" t="s">
        <v>74</v>
      </c>
      <c r="BR411" t="s">
        <v>101</v>
      </c>
      <c r="BS411" t="s">
        <v>6709</v>
      </c>
      <c r="BT411" t="str">
        <f>HYPERLINK("https%3A%2F%2Fwww.webofscience.com%2Fwos%2Fwoscc%2Ffull-record%2FWOS:000233869100002","View Full Record in Web of Science")</f>
        <v>View Full Record in Web of Science</v>
      </c>
    </row>
    <row r="412" spans="1:72" x14ac:dyDescent="0.15">
      <c r="A412" t="s">
        <v>72</v>
      </c>
      <c r="B412" t="s">
        <v>6710</v>
      </c>
      <c r="C412" t="s">
        <v>74</v>
      </c>
      <c r="D412" t="s">
        <v>74</v>
      </c>
      <c r="E412" t="s">
        <v>74</v>
      </c>
      <c r="F412" t="s">
        <v>6710</v>
      </c>
      <c r="G412" t="s">
        <v>74</v>
      </c>
      <c r="H412" t="s">
        <v>74</v>
      </c>
      <c r="I412" t="s">
        <v>6711</v>
      </c>
      <c r="J412" t="s">
        <v>3975</v>
      </c>
      <c r="K412" t="s">
        <v>74</v>
      </c>
      <c r="L412" t="s">
        <v>74</v>
      </c>
      <c r="M412" t="s">
        <v>77</v>
      </c>
      <c r="N412" t="s">
        <v>78</v>
      </c>
      <c r="O412" t="s">
        <v>74</v>
      </c>
      <c r="P412" t="s">
        <v>74</v>
      </c>
      <c r="Q412" t="s">
        <v>74</v>
      </c>
      <c r="R412" t="s">
        <v>74</v>
      </c>
      <c r="S412" t="s">
        <v>74</v>
      </c>
      <c r="T412" t="s">
        <v>74</v>
      </c>
      <c r="U412" t="s">
        <v>6712</v>
      </c>
      <c r="V412" t="s">
        <v>6713</v>
      </c>
      <c r="W412" t="s">
        <v>6714</v>
      </c>
      <c r="X412" t="s">
        <v>6715</v>
      </c>
      <c r="Y412" t="s">
        <v>6716</v>
      </c>
      <c r="Z412" t="s">
        <v>6717</v>
      </c>
      <c r="AA412" t="s">
        <v>6718</v>
      </c>
      <c r="AB412" t="s">
        <v>6719</v>
      </c>
      <c r="AC412" t="s">
        <v>74</v>
      </c>
      <c r="AD412" t="s">
        <v>74</v>
      </c>
      <c r="AE412" t="s">
        <v>74</v>
      </c>
      <c r="AF412" t="s">
        <v>74</v>
      </c>
      <c r="AG412">
        <v>67</v>
      </c>
      <c r="AH412">
        <v>29</v>
      </c>
      <c r="AI412">
        <v>35</v>
      </c>
      <c r="AJ412">
        <v>0</v>
      </c>
      <c r="AK412">
        <v>24</v>
      </c>
      <c r="AL412" t="s">
        <v>88</v>
      </c>
      <c r="AM412" t="s">
        <v>89</v>
      </c>
      <c r="AN412" t="s">
        <v>90</v>
      </c>
      <c r="AO412" t="s">
        <v>3985</v>
      </c>
      <c r="AP412" t="s">
        <v>3986</v>
      </c>
      <c r="AQ412" t="s">
        <v>74</v>
      </c>
      <c r="AR412" t="s">
        <v>3987</v>
      </c>
      <c r="AS412" t="s">
        <v>3988</v>
      </c>
      <c r="AT412" t="s">
        <v>5770</v>
      </c>
      <c r="AU412">
        <v>2005</v>
      </c>
      <c r="AV412">
        <v>29</v>
      </c>
      <c r="AW412">
        <v>1</v>
      </c>
      <c r="AX412" t="s">
        <v>74</v>
      </c>
      <c r="AY412" t="s">
        <v>74</v>
      </c>
      <c r="AZ412" t="s">
        <v>74</v>
      </c>
      <c r="BA412" t="s">
        <v>74</v>
      </c>
      <c r="BB412">
        <v>27</v>
      </c>
      <c r="BC412">
        <v>39</v>
      </c>
      <c r="BD412" t="s">
        <v>74</v>
      </c>
      <c r="BE412" t="s">
        <v>6720</v>
      </c>
      <c r="BF412" t="str">
        <f>HYPERLINK("http://dx.doi.org/10.1007/s00300-005-0032-2","http://dx.doi.org/10.1007/s00300-005-0032-2")</f>
        <v>http://dx.doi.org/10.1007/s00300-005-0032-2</v>
      </c>
      <c r="BG412" t="s">
        <v>74</v>
      </c>
      <c r="BH412" t="s">
        <v>74</v>
      </c>
      <c r="BI412">
        <v>13</v>
      </c>
      <c r="BJ412" t="s">
        <v>3990</v>
      </c>
      <c r="BK412" t="s">
        <v>98</v>
      </c>
      <c r="BL412" t="s">
        <v>147</v>
      </c>
      <c r="BM412" t="s">
        <v>6698</v>
      </c>
      <c r="BN412" t="s">
        <v>74</v>
      </c>
      <c r="BO412" t="s">
        <v>74</v>
      </c>
      <c r="BP412" t="s">
        <v>74</v>
      </c>
      <c r="BQ412" t="s">
        <v>74</v>
      </c>
      <c r="BR412" t="s">
        <v>101</v>
      </c>
      <c r="BS412" t="s">
        <v>6721</v>
      </c>
      <c r="BT412" t="str">
        <f>HYPERLINK("https%3A%2F%2Fwww.webofscience.com%2Fwos%2Fwoscc%2Ffull-record%2FWOS:000233869100003","View Full Record in Web of Science")</f>
        <v>View Full Record in Web of Science</v>
      </c>
    </row>
    <row r="413" spans="1:72" x14ac:dyDescent="0.15">
      <c r="A413" t="s">
        <v>72</v>
      </c>
      <c r="B413" t="s">
        <v>6722</v>
      </c>
      <c r="C413" t="s">
        <v>74</v>
      </c>
      <c r="D413" t="s">
        <v>74</v>
      </c>
      <c r="E413" t="s">
        <v>74</v>
      </c>
      <c r="F413" t="s">
        <v>6722</v>
      </c>
      <c r="G413" t="s">
        <v>74</v>
      </c>
      <c r="H413" t="s">
        <v>74</v>
      </c>
      <c r="I413" t="s">
        <v>6723</v>
      </c>
      <c r="J413" t="s">
        <v>3975</v>
      </c>
      <c r="K413" t="s">
        <v>74</v>
      </c>
      <c r="L413" t="s">
        <v>74</v>
      </c>
      <c r="M413" t="s">
        <v>77</v>
      </c>
      <c r="N413" t="s">
        <v>78</v>
      </c>
      <c r="O413" t="s">
        <v>74</v>
      </c>
      <c r="P413" t="s">
        <v>74</v>
      </c>
      <c r="Q413" t="s">
        <v>74</v>
      </c>
      <c r="R413" t="s">
        <v>74</v>
      </c>
      <c r="S413" t="s">
        <v>74</v>
      </c>
      <c r="T413" t="s">
        <v>74</v>
      </c>
      <c r="U413" t="s">
        <v>6724</v>
      </c>
      <c r="V413" t="s">
        <v>6725</v>
      </c>
      <c r="W413" t="s">
        <v>6726</v>
      </c>
      <c r="X413" t="s">
        <v>944</v>
      </c>
      <c r="Y413" t="s">
        <v>6727</v>
      </c>
      <c r="Z413" t="s">
        <v>946</v>
      </c>
      <c r="AA413" t="s">
        <v>947</v>
      </c>
      <c r="AB413" t="s">
        <v>948</v>
      </c>
      <c r="AC413" t="s">
        <v>74</v>
      </c>
      <c r="AD413" t="s">
        <v>74</v>
      </c>
      <c r="AE413" t="s">
        <v>74</v>
      </c>
      <c r="AF413" t="s">
        <v>74</v>
      </c>
      <c r="AG413">
        <v>12</v>
      </c>
      <c r="AH413">
        <v>6</v>
      </c>
      <c r="AI413">
        <v>6</v>
      </c>
      <c r="AJ413">
        <v>0</v>
      </c>
      <c r="AK413">
        <v>3</v>
      </c>
      <c r="AL413" t="s">
        <v>88</v>
      </c>
      <c r="AM413" t="s">
        <v>89</v>
      </c>
      <c r="AN413" t="s">
        <v>4001</v>
      </c>
      <c r="AO413" t="s">
        <v>3985</v>
      </c>
      <c r="AP413" t="s">
        <v>74</v>
      </c>
      <c r="AQ413" t="s">
        <v>74</v>
      </c>
      <c r="AR413" t="s">
        <v>3987</v>
      </c>
      <c r="AS413" t="s">
        <v>3988</v>
      </c>
      <c r="AT413" t="s">
        <v>5770</v>
      </c>
      <c r="AU413">
        <v>2005</v>
      </c>
      <c r="AV413">
        <v>29</v>
      </c>
      <c r="AW413">
        <v>1</v>
      </c>
      <c r="AX413" t="s">
        <v>74</v>
      </c>
      <c r="AY413" t="s">
        <v>74</v>
      </c>
      <c r="AZ413" t="s">
        <v>74</v>
      </c>
      <c r="BA413" t="s">
        <v>74</v>
      </c>
      <c r="BB413">
        <v>40</v>
      </c>
      <c r="BC413">
        <v>43</v>
      </c>
      <c r="BD413" t="s">
        <v>74</v>
      </c>
      <c r="BE413" t="s">
        <v>6728</v>
      </c>
      <c r="BF413" t="str">
        <f>HYPERLINK("http://dx.doi.org/10.1007/s00300-005-0029-x","http://dx.doi.org/10.1007/s00300-005-0029-x")</f>
        <v>http://dx.doi.org/10.1007/s00300-005-0029-x</v>
      </c>
      <c r="BG413" t="s">
        <v>74</v>
      </c>
      <c r="BH413" t="s">
        <v>74</v>
      </c>
      <c r="BI413">
        <v>4</v>
      </c>
      <c r="BJ413" t="s">
        <v>3990</v>
      </c>
      <c r="BK413" t="s">
        <v>98</v>
      </c>
      <c r="BL413" t="s">
        <v>147</v>
      </c>
      <c r="BM413" t="s">
        <v>6698</v>
      </c>
      <c r="BN413" t="s">
        <v>74</v>
      </c>
      <c r="BO413" t="s">
        <v>74</v>
      </c>
      <c r="BP413" t="s">
        <v>74</v>
      </c>
      <c r="BQ413" t="s">
        <v>74</v>
      </c>
      <c r="BR413" t="s">
        <v>101</v>
      </c>
      <c r="BS413" t="s">
        <v>6729</v>
      </c>
      <c r="BT413" t="str">
        <f>HYPERLINK("https%3A%2F%2Fwww.webofscience.com%2Fwos%2Fwoscc%2Ffull-record%2FWOS:000233869100004","View Full Record in Web of Science")</f>
        <v>View Full Record in Web of Science</v>
      </c>
    </row>
    <row r="414" spans="1:72" x14ac:dyDescent="0.15">
      <c r="A414" t="s">
        <v>72</v>
      </c>
      <c r="B414" t="s">
        <v>6730</v>
      </c>
      <c r="C414" t="s">
        <v>74</v>
      </c>
      <c r="D414" t="s">
        <v>74</v>
      </c>
      <c r="E414" t="s">
        <v>74</v>
      </c>
      <c r="F414" t="s">
        <v>6730</v>
      </c>
      <c r="G414" t="s">
        <v>74</v>
      </c>
      <c r="H414" t="s">
        <v>74</v>
      </c>
      <c r="I414" t="s">
        <v>6731</v>
      </c>
      <c r="J414" t="s">
        <v>3975</v>
      </c>
      <c r="K414" t="s">
        <v>74</v>
      </c>
      <c r="L414" t="s">
        <v>74</v>
      </c>
      <c r="M414" t="s">
        <v>77</v>
      </c>
      <c r="N414" t="s">
        <v>78</v>
      </c>
      <c r="O414" t="s">
        <v>74</v>
      </c>
      <c r="P414" t="s">
        <v>74</v>
      </c>
      <c r="Q414" t="s">
        <v>74</v>
      </c>
      <c r="R414" t="s">
        <v>74</v>
      </c>
      <c r="S414" t="s">
        <v>74</v>
      </c>
      <c r="T414" t="s">
        <v>74</v>
      </c>
      <c r="U414" t="s">
        <v>6732</v>
      </c>
      <c r="V414" t="s">
        <v>6733</v>
      </c>
      <c r="W414" t="s">
        <v>6734</v>
      </c>
      <c r="X414" t="s">
        <v>6735</v>
      </c>
      <c r="Y414" t="s">
        <v>6736</v>
      </c>
      <c r="Z414" t="s">
        <v>6737</v>
      </c>
      <c r="AA414" t="s">
        <v>6738</v>
      </c>
      <c r="AB414" t="s">
        <v>6739</v>
      </c>
      <c r="AC414" t="s">
        <v>74</v>
      </c>
      <c r="AD414" t="s">
        <v>74</v>
      </c>
      <c r="AE414" t="s">
        <v>74</v>
      </c>
      <c r="AF414" t="s">
        <v>74</v>
      </c>
      <c r="AG414">
        <v>55</v>
      </c>
      <c r="AH414">
        <v>50</v>
      </c>
      <c r="AI414">
        <v>51</v>
      </c>
      <c r="AJ414">
        <v>0</v>
      </c>
      <c r="AK414">
        <v>21</v>
      </c>
      <c r="AL414" t="s">
        <v>88</v>
      </c>
      <c r="AM414" t="s">
        <v>89</v>
      </c>
      <c r="AN414" t="s">
        <v>90</v>
      </c>
      <c r="AO414" t="s">
        <v>3985</v>
      </c>
      <c r="AP414" t="s">
        <v>3986</v>
      </c>
      <c r="AQ414" t="s">
        <v>74</v>
      </c>
      <c r="AR414" t="s">
        <v>3987</v>
      </c>
      <c r="AS414" t="s">
        <v>3988</v>
      </c>
      <c r="AT414" t="s">
        <v>5770</v>
      </c>
      <c r="AU414">
        <v>2005</v>
      </c>
      <c r="AV414">
        <v>29</v>
      </c>
      <c r="AW414">
        <v>1</v>
      </c>
      <c r="AX414" t="s">
        <v>74</v>
      </c>
      <c r="AY414" t="s">
        <v>74</v>
      </c>
      <c r="AZ414" t="s">
        <v>74</v>
      </c>
      <c r="BA414" t="s">
        <v>74</v>
      </c>
      <c r="BB414">
        <v>44</v>
      </c>
      <c r="BC414">
        <v>52</v>
      </c>
      <c r="BD414" t="s">
        <v>74</v>
      </c>
      <c r="BE414" t="s">
        <v>6740</v>
      </c>
      <c r="BF414" t="str">
        <f>HYPERLINK("http://dx.doi.org/10.1007/s00300-005-0028-y","http://dx.doi.org/10.1007/s00300-005-0028-y")</f>
        <v>http://dx.doi.org/10.1007/s00300-005-0028-y</v>
      </c>
      <c r="BG414" t="s">
        <v>74</v>
      </c>
      <c r="BH414" t="s">
        <v>74</v>
      </c>
      <c r="BI414">
        <v>9</v>
      </c>
      <c r="BJ414" t="s">
        <v>3990</v>
      </c>
      <c r="BK414" t="s">
        <v>98</v>
      </c>
      <c r="BL414" t="s">
        <v>147</v>
      </c>
      <c r="BM414" t="s">
        <v>6698</v>
      </c>
      <c r="BN414" t="s">
        <v>74</v>
      </c>
      <c r="BO414" t="s">
        <v>5041</v>
      </c>
      <c r="BP414" t="s">
        <v>74</v>
      </c>
      <c r="BQ414" t="s">
        <v>74</v>
      </c>
      <c r="BR414" t="s">
        <v>101</v>
      </c>
      <c r="BS414" t="s">
        <v>6741</v>
      </c>
      <c r="BT414" t="str">
        <f>HYPERLINK("https%3A%2F%2Fwww.webofscience.com%2Fwos%2Fwoscc%2Ffull-record%2FWOS:000233869100005","View Full Record in Web of Science")</f>
        <v>View Full Record in Web of Science</v>
      </c>
    </row>
    <row r="415" spans="1:72" x14ac:dyDescent="0.15">
      <c r="A415" t="s">
        <v>72</v>
      </c>
      <c r="B415" t="s">
        <v>6742</v>
      </c>
      <c r="C415" t="s">
        <v>74</v>
      </c>
      <c r="D415" t="s">
        <v>74</v>
      </c>
      <c r="E415" t="s">
        <v>74</v>
      </c>
      <c r="F415" t="s">
        <v>6742</v>
      </c>
      <c r="G415" t="s">
        <v>74</v>
      </c>
      <c r="H415" t="s">
        <v>74</v>
      </c>
      <c r="I415" t="s">
        <v>6743</v>
      </c>
      <c r="J415" t="s">
        <v>3975</v>
      </c>
      <c r="K415" t="s">
        <v>74</v>
      </c>
      <c r="L415" t="s">
        <v>74</v>
      </c>
      <c r="M415" t="s">
        <v>77</v>
      </c>
      <c r="N415" t="s">
        <v>78</v>
      </c>
      <c r="O415" t="s">
        <v>74</v>
      </c>
      <c r="P415" t="s">
        <v>74</v>
      </c>
      <c r="Q415" t="s">
        <v>74</v>
      </c>
      <c r="R415" t="s">
        <v>74</v>
      </c>
      <c r="S415" t="s">
        <v>74</v>
      </c>
      <c r="T415" t="s">
        <v>74</v>
      </c>
      <c r="U415" t="s">
        <v>6744</v>
      </c>
      <c r="V415" t="s">
        <v>6745</v>
      </c>
      <c r="W415" t="s">
        <v>6746</v>
      </c>
      <c r="X415" t="s">
        <v>6747</v>
      </c>
      <c r="Y415" t="s">
        <v>6748</v>
      </c>
      <c r="Z415" t="s">
        <v>6749</v>
      </c>
      <c r="AA415" t="s">
        <v>6750</v>
      </c>
      <c r="AB415" t="s">
        <v>74</v>
      </c>
      <c r="AC415" t="s">
        <v>74</v>
      </c>
      <c r="AD415" t="s">
        <v>74</v>
      </c>
      <c r="AE415" t="s">
        <v>74</v>
      </c>
      <c r="AF415" t="s">
        <v>74</v>
      </c>
      <c r="AG415">
        <v>65</v>
      </c>
      <c r="AH415">
        <v>22</v>
      </c>
      <c r="AI415">
        <v>26</v>
      </c>
      <c r="AJ415">
        <v>0</v>
      </c>
      <c r="AK415">
        <v>16</v>
      </c>
      <c r="AL415" t="s">
        <v>88</v>
      </c>
      <c r="AM415" t="s">
        <v>89</v>
      </c>
      <c r="AN415" t="s">
        <v>4001</v>
      </c>
      <c r="AO415" t="s">
        <v>3985</v>
      </c>
      <c r="AP415" t="s">
        <v>74</v>
      </c>
      <c r="AQ415" t="s">
        <v>74</v>
      </c>
      <c r="AR415" t="s">
        <v>3987</v>
      </c>
      <c r="AS415" t="s">
        <v>3988</v>
      </c>
      <c r="AT415" t="s">
        <v>5770</v>
      </c>
      <c r="AU415">
        <v>2005</v>
      </c>
      <c r="AV415">
        <v>29</v>
      </c>
      <c r="AW415">
        <v>1</v>
      </c>
      <c r="AX415" t="s">
        <v>74</v>
      </c>
      <c r="AY415" t="s">
        <v>74</v>
      </c>
      <c r="AZ415" t="s">
        <v>74</v>
      </c>
      <c r="BA415" t="s">
        <v>74</v>
      </c>
      <c r="BB415">
        <v>53</v>
      </c>
      <c r="BC415">
        <v>60</v>
      </c>
      <c r="BD415" t="s">
        <v>74</v>
      </c>
      <c r="BE415" t="s">
        <v>6751</v>
      </c>
      <c r="BF415" t="str">
        <f>HYPERLINK("http://dx.doi.org/10.1007/s00300-005-0027-z","http://dx.doi.org/10.1007/s00300-005-0027-z")</f>
        <v>http://dx.doi.org/10.1007/s00300-005-0027-z</v>
      </c>
      <c r="BG415" t="s">
        <v>74</v>
      </c>
      <c r="BH415" t="s">
        <v>74</v>
      </c>
      <c r="BI415">
        <v>8</v>
      </c>
      <c r="BJ415" t="s">
        <v>3990</v>
      </c>
      <c r="BK415" t="s">
        <v>98</v>
      </c>
      <c r="BL415" t="s">
        <v>147</v>
      </c>
      <c r="BM415" t="s">
        <v>6698</v>
      </c>
      <c r="BN415" t="s">
        <v>74</v>
      </c>
      <c r="BO415" t="s">
        <v>74</v>
      </c>
      <c r="BP415" t="s">
        <v>74</v>
      </c>
      <c r="BQ415" t="s">
        <v>74</v>
      </c>
      <c r="BR415" t="s">
        <v>101</v>
      </c>
      <c r="BS415" t="s">
        <v>6752</v>
      </c>
      <c r="BT415" t="str">
        <f>HYPERLINK("https%3A%2F%2Fwww.webofscience.com%2Fwos%2Fwoscc%2Ffull-record%2FWOS:000233869100006","View Full Record in Web of Science")</f>
        <v>View Full Record in Web of Science</v>
      </c>
    </row>
    <row r="416" spans="1:72" x14ac:dyDescent="0.15">
      <c r="A416" t="s">
        <v>72</v>
      </c>
      <c r="B416" t="s">
        <v>6753</v>
      </c>
      <c r="C416" t="s">
        <v>74</v>
      </c>
      <c r="D416" t="s">
        <v>74</v>
      </c>
      <c r="E416" t="s">
        <v>74</v>
      </c>
      <c r="F416" t="s">
        <v>6753</v>
      </c>
      <c r="G416" t="s">
        <v>74</v>
      </c>
      <c r="H416" t="s">
        <v>74</v>
      </c>
      <c r="I416" t="s">
        <v>6754</v>
      </c>
      <c r="J416" t="s">
        <v>3975</v>
      </c>
      <c r="K416" t="s">
        <v>74</v>
      </c>
      <c r="L416" t="s">
        <v>74</v>
      </c>
      <c r="M416" t="s">
        <v>77</v>
      </c>
      <c r="N416" t="s">
        <v>78</v>
      </c>
      <c r="O416" t="s">
        <v>74</v>
      </c>
      <c r="P416" t="s">
        <v>74</v>
      </c>
      <c r="Q416" t="s">
        <v>74</v>
      </c>
      <c r="R416" t="s">
        <v>74</v>
      </c>
      <c r="S416" t="s">
        <v>74</v>
      </c>
      <c r="T416" t="s">
        <v>74</v>
      </c>
      <c r="U416" t="s">
        <v>6755</v>
      </c>
      <c r="V416" t="s">
        <v>6756</v>
      </c>
      <c r="W416" t="s">
        <v>6757</v>
      </c>
      <c r="X416" t="s">
        <v>6758</v>
      </c>
      <c r="Y416" t="s">
        <v>6759</v>
      </c>
      <c r="Z416" t="s">
        <v>931</v>
      </c>
      <c r="AA416" t="s">
        <v>74</v>
      </c>
      <c r="AB416" t="s">
        <v>6760</v>
      </c>
      <c r="AC416" t="s">
        <v>74</v>
      </c>
      <c r="AD416" t="s">
        <v>74</v>
      </c>
      <c r="AE416" t="s">
        <v>74</v>
      </c>
      <c r="AF416" t="s">
        <v>74</v>
      </c>
      <c r="AG416">
        <v>19</v>
      </c>
      <c r="AH416">
        <v>22</v>
      </c>
      <c r="AI416">
        <v>24</v>
      </c>
      <c r="AJ416">
        <v>1</v>
      </c>
      <c r="AK416">
        <v>5</v>
      </c>
      <c r="AL416" t="s">
        <v>88</v>
      </c>
      <c r="AM416" t="s">
        <v>89</v>
      </c>
      <c r="AN416" t="s">
        <v>90</v>
      </c>
      <c r="AO416" t="s">
        <v>3985</v>
      </c>
      <c r="AP416" t="s">
        <v>3986</v>
      </c>
      <c r="AQ416" t="s">
        <v>74</v>
      </c>
      <c r="AR416" t="s">
        <v>3987</v>
      </c>
      <c r="AS416" t="s">
        <v>3988</v>
      </c>
      <c r="AT416" t="s">
        <v>5770</v>
      </c>
      <c r="AU416">
        <v>2005</v>
      </c>
      <c r="AV416">
        <v>29</v>
      </c>
      <c r="AW416">
        <v>1</v>
      </c>
      <c r="AX416" t="s">
        <v>74</v>
      </c>
      <c r="AY416" t="s">
        <v>74</v>
      </c>
      <c r="AZ416" t="s">
        <v>74</v>
      </c>
      <c r="BA416" t="s">
        <v>74</v>
      </c>
      <c r="BB416">
        <v>65</v>
      </c>
      <c r="BC416">
        <v>69</v>
      </c>
      <c r="BD416" t="s">
        <v>74</v>
      </c>
      <c r="BE416" t="s">
        <v>6761</v>
      </c>
      <c r="BF416" t="str">
        <f>HYPERLINK("http://dx.doi.org/10.1007/s00300-005-0044-y","http://dx.doi.org/10.1007/s00300-005-0044-y")</f>
        <v>http://dx.doi.org/10.1007/s00300-005-0044-y</v>
      </c>
      <c r="BG416" t="s">
        <v>74</v>
      </c>
      <c r="BH416" t="s">
        <v>74</v>
      </c>
      <c r="BI416">
        <v>5</v>
      </c>
      <c r="BJ416" t="s">
        <v>3990</v>
      </c>
      <c r="BK416" t="s">
        <v>98</v>
      </c>
      <c r="BL416" t="s">
        <v>147</v>
      </c>
      <c r="BM416" t="s">
        <v>6698</v>
      </c>
      <c r="BN416" t="s">
        <v>74</v>
      </c>
      <c r="BO416" t="s">
        <v>74</v>
      </c>
      <c r="BP416" t="s">
        <v>74</v>
      </c>
      <c r="BQ416" t="s">
        <v>74</v>
      </c>
      <c r="BR416" t="s">
        <v>101</v>
      </c>
      <c r="BS416" t="s">
        <v>6762</v>
      </c>
      <c r="BT416" t="str">
        <f>HYPERLINK("https%3A%2F%2Fwww.webofscience.com%2Fwos%2Fwoscc%2Ffull-record%2FWOS:000233869100008","View Full Record in Web of Science")</f>
        <v>View Full Record in Web of Science</v>
      </c>
    </row>
    <row r="417" spans="1:72" x14ac:dyDescent="0.15">
      <c r="A417" t="s">
        <v>72</v>
      </c>
      <c r="B417" t="s">
        <v>6763</v>
      </c>
      <c r="C417" t="s">
        <v>74</v>
      </c>
      <c r="D417" t="s">
        <v>74</v>
      </c>
      <c r="E417" t="s">
        <v>74</v>
      </c>
      <c r="F417" t="s">
        <v>6763</v>
      </c>
      <c r="G417" t="s">
        <v>74</v>
      </c>
      <c r="H417" t="s">
        <v>74</v>
      </c>
      <c r="I417" t="s">
        <v>6764</v>
      </c>
      <c r="J417" t="s">
        <v>3975</v>
      </c>
      <c r="K417" t="s">
        <v>74</v>
      </c>
      <c r="L417" t="s">
        <v>74</v>
      </c>
      <c r="M417" t="s">
        <v>77</v>
      </c>
      <c r="N417" t="s">
        <v>78</v>
      </c>
      <c r="O417" t="s">
        <v>74</v>
      </c>
      <c r="P417" t="s">
        <v>74</v>
      </c>
      <c r="Q417" t="s">
        <v>74</v>
      </c>
      <c r="R417" t="s">
        <v>74</v>
      </c>
      <c r="S417" t="s">
        <v>74</v>
      </c>
      <c r="T417" t="s">
        <v>74</v>
      </c>
      <c r="U417" t="s">
        <v>74</v>
      </c>
      <c r="V417" t="s">
        <v>6765</v>
      </c>
      <c r="W417" t="s">
        <v>6766</v>
      </c>
      <c r="X417" t="s">
        <v>6767</v>
      </c>
      <c r="Y417" t="s">
        <v>6768</v>
      </c>
      <c r="Z417" t="s">
        <v>6769</v>
      </c>
      <c r="AA417" t="s">
        <v>74</v>
      </c>
      <c r="AB417" t="s">
        <v>74</v>
      </c>
      <c r="AC417" t="s">
        <v>74</v>
      </c>
      <c r="AD417" t="s">
        <v>74</v>
      </c>
      <c r="AE417" t="s">
        <v>74</v>
      </c>
      <c r="AF417" t="s">
        <v>74</v>
      </c>
      <c r="AG417">
        <v>9</v>
      </c>
      <c r="AH417">
        <v>6</v>
      </c>
      <c r="AI417">
        <v>7</v>
      </c>
      <c r="AJ417">
        <v>0</v>
      </c>
      <c r="AK417">
        <v>1</v>
      </c>
      <c r="AL417" t="s">
        <v>88</v>
      </c>
      <c r="AM417" t="s">
        <v>89</v>
      </c>
      <c r="AN417" t="s">
        <v>90</v>
      </c>
      <c r="AO417" t="s">
        <v>3985</v>
      </c>
      <c r="AP417" t="s">
        <v>3986</v>
      </c>
      <c r="AQ417" t="s">
        <v>74</v>
      </c>
      <c r="AR417" t="s">
        <v>3987</v>
      </c>
      <c r="AS417" t="s">
        <v>3988</v>
      </c>
      <c r="AT417" t="s">
        <v>5770</v>
      </c>
      <c r="AU417">
        <v>2005</v>
      </c>
      <c r="AV417">
        <v>29</v>
      </c>
      <c r="AW417">
        <v>1</v>
      </c>
      <c r="AX417" t="s">
        <v>74</v>
      </c>
      <c r="AY417" t="s">
        <v>74</v>
      </c>
      <c r="AZ417" t="s">
        <v>74</v>
      </c>
      <c r="BA417" t="s">
        <v>74</v>
      </c>
      <c r="BB417">
        <v>70</v>
      </c>
      <c r="BC417">
        <v>72</v>
      </c>
      <c r="BD417" t="s">
        <v>74</v>
      </c>
      <c r="BE417" t="s">
        <v>6770</v>
      </c>
      <c r="BF417" t="str">
        <f>HYPERLINK("http://dx.doi.org/10.1007/s00300-005-0039-8","http://dx.doi.org/10.1007/s00300-005-0039-8")</f>
        <v>http://dx.doi.org/10.1007/s00300-005-0039-8</v>
      </c>
      <c r="BG417" t="s">
        <v>74</v>
      </c>
      <c r="BH417" t="s">
        <v>74</v>
      </c>
      <c r="BI417">
        <v>3</v>
      </c>
      <c r="BJ417" t="s">
        <v>3990</v>
      </c>
      <c r="BK417" t="s">
        <v>98</v>
      </c>
      <c r="BL417" t="s">
        <v>147</v>
      </c>
      <c r="BM417" t="s">
        <v>6698</v>
      </c>
      <c r="BN417" t="s">
        <v>74</v>
      </c>
      <c r="BO417" t="s">
        <v>534</v>
      </c>
      <c r="BP417" t="s">
        <v>74</v>
      </c>
      <c r="BQ417" t="s">
        <v>74</v>
      </c>
      <c r="BR417" t="s">
        <v>101</v>
      </c>
      <c r="BS417" t="s">
        <v>6771</v>
      </c>
      <c r="BT417" t="str">
        <f>HYPERLINK("https%3A%2F%2Fwww.webofscience.com%2Fwos%2Fwoscc%2Ffull-record%2FWOS:000233869100009","View Full Record in Web of Science")</f>
        <v>View Full Record in Web of Science</v>
      </c>
    </row>
    <row r="418" spans="1:72" x14ac:dyDescent="0.15">
      <c r="A418" t="s">
        <v>72</v>
      </c>
      <c r="B418" t="s">
        <v>6772</v>
      </c>
      <c r="C418" t="s">
        <v>74</v>
      </c>
      <c r="D418" t="s">
        <v>74</v>
      </c>
      <c r="E418" t="s">
        <v>74</v>
      </c>
      <c r="F418" t="s">
        <v>6772</v>
      </c>
      <c r="G418" t="s">
        <v>74</v>
      </c>
      <c r="H418" t="s">
        <v>74</v>
      </c>
      <c r="I418" t="s">
        <v>6773</v>
      </c>
      <c r="J418" t="s">
        <v>3975</v>
      </c>
      <c r="K418" t="s">
        <v>74</v>
      </c>
      <c r="L418" t="s">
        <v>74</v>
      </c>
      <c r="M418" t="s">
        <v>77</v>
      </c>
      <c r="N418" t="s">
        <v>78</v>
      </c>
      <c r="O418" t="s">
        <v>74</v>
      </c>
      <c r="P418" t="s">
        <v>74</v>
      </c>
      <c r="Q418" t="s">
        <v>74</v>
      </c>
      <c r="R418" t="s">
        <v>74</v>
      </c>
      <c r="S418" t="s">
        <v>74</v>
      </c>
      <c r="T418" t="s">
        <v>74</v>
      </c>
      <c r="U418" t="s">
        <v>6774</v>
      </c>
      <c r="V418" t="s">
        <v>6775</v>
      </c>
      <c r="W418" t="s">
        <v>6776</v>
      </c>
      <c r="X418" t="s">
        <v>74</v>
      </c>
      <c r="Y418" t="s">
        <v>6777</v>
      </c>
      <c r="Z418" t="s">
        <v>6778</v>
      </c>
      <c r="AA418" t="s">
        <v>6779</v>
      </c>
      <c r="AB418" t="s">
        <v>6780</v>
      </c>
      <c r="AC418" t="s">
        <v>74</v>
      </c>
      <c r="AD418" t="s">
        <v>74</v>
      </c>
      <c r="AE418" t="s">
        <v>74</v>
      </c>
      <c r="AF418" t="s">
        <v>74</v>
      </c>
      <c r="AG418">
        <v>4</v>
      </c>
      <c r="AH418">
        <v>1</v>
      </c>
      <c r="AI418">
        <v>1</v>
      </c>
      <c r="AJ418">
        <v>0</v>
      </c>
      <c r="AK418">
        <v>1</v>
      </c>
      <c r="AL418" t="s">
        <v>88</v>
      </c>
      <c r="AM418" t="s">
        <v>89</v>
      </c>
      <c r="AN418" t="s">
        <v>3984</v>
      </c>
      <c r="AO418" t="s">
        <v>3985</v>
      </c>
      <c r="AP418" t="s">
        <v>3986</v>
      </c>
      <c r="AQ418" t="s">
        <v>74</v>
      </c>
      <c r="AR418" t="s">
        <v>3987</v>
      </c>
      <c r="AS418" t="s">
        <v>3988</v>
      </c>
      <c r="AT418" t="s">
        <v>5770</v>
      </c>
      <c r="AU418">
        <v>2005</v>
      </c>
      <c r="AV418">
        <v>29</v>
      </c>
      <c r="AW418">
        <v>1</v>
      </c>
      <c r="AX418" t="s">
        <v>74</v>
      </c>
      <c r="AY418" t="s">
        <v>74</v>
      </c>
      <c r="AZ418" t="s">
        <v>74</v>
      </c>
      <c r="BA418" t="s">
        <v>74</v>
      </c>
      <c r="BB418">
        <v>73</v>
      </c>
      <c r="BC418">
        <v>76</v>
      </c>
      <c r="BD418" t="s">
        <v>74</v>
      </c>
      <c r="BE418" t="s">
        <v>6781</v>
      </c>
      <c r="BF418" t="str">
        <f>HYPERLINK("http://dx.doi.org/10.1007/s00300-005-0031-3","http://dx.doi.org/10.1007/s00300-005-0031-3")</f>
        <v>http://dx.doi.org/10.1007/s00300-005-0031-3</v>
      </c>
      <c r="BG418" t="s">
        <v>74</v>
      </c>
      <c r="BH418" t="s">
        <v>74</v>
      </c>
      <c r="BI418">
        <v>4</v>
      </c>
      <c r="BJ418" t="s">
        <v>3990</v>
      </c>
      <c r="BK418" t="s">
        <v>98</v>
      </c>
      <c r="BL418" t="s">
        <v>147</v>
      </c>
      <c r="BM418" t="s">
        <v>6698</v>
      </c>
      <c r="BN418" t="s">
        <v>74</v>
      </c>
      <c r="BO418" t="s">
        <v>74</v>
      </c>
      <c r="BP418" t="s">
        <v>74</v>
      </c>
      <c r="BQ418" t="s">
        <v>74</v>
      </c>
      <c r="BR418" t="s">
        <v>101</v>
      </c>
      <c r="BS418" t="s">
        <v>6782</v>
      </c>
      <c r="BT418" t="str">
        <f>HYPERLINK("https%3A%2F%2Fwww.webofscience.com%2Fwos%2Fwoscc%2Ffull-record%2FWOS:000233869100010","View Full Record in Web of Science")</f>
        <v>View Full Record in Web of Science</v>
      </c>
    </row>
    <row r="419" spans="1:72" x14ac:dyDescent="0.15">
      <c r="A419" t="s">
        <v>72</v>
      </c>
      <c r="B419" t="s">
        <v>6783</v>
      </c>
      <c r="C419" t="s">
        <v>74</v>
      </c>
      <c r="D419" t="s">
        <v>74</v>
      </c>
      <c r="E419" t="s">
        <v>74</v>
      </c>
      <c r="F419" t="s">
        <v>6783</v>
      </c>
      <c r="G419" t="s">
        <v>74</v>
      </c>
      <c r="H419" t="s">
        <v>74</v>
      </c>
      <c r="I419" t="s">
        <v>6784</v>
      </c>
      <c r="J419" t="s">
        <v>3975</v>
      </c>
      <c r="K419" t="s">
        <v>74</v>
      </c>
      <c r="L419" t="s">
        <v>74</v>
      </c>
      <c r="M419" t="s">
        <v>77</v>
      </c>
      <c r="N419" t="s">
        <v>78</v>
      </c>
      <c r="O419" t="s">
        <v>74</v>
      </c>
      <c r="P419" t="s">
        <v>74</v>
      </c>
      <c r="Q419" t="s">
        <v>74</v>
      </c>
      <c r="R419" t="s">
        <v>74</v>
      </c>
      <c r="S419" t="s">
        <v>74</v>
      </c>
      <c r="T419" t="s">
        <v>6785</v>
      </c>
      <c r="U419" t="s">
        <v>6786</v>
      </c>
      <c r="V419" t="s">
        <v>6787</v>
      </c>
      <c r="W419" t="s">
        <v>6788</v>
      </c>
      <c r="X419" t="s">
        <v>6789</v>
      </c>
      <c r="Y419" t="s">
        <v>6790</v>
      </c>
      <c r="Z419" t="s">
        <v>6791</v>
      </c>
      <c r="AA419" t="s">
        <v>6792</v>
      </c>
      <c r="AB419" t="s">
        <v>6793</v>
      </c>
      <c r="AC419" t="s">
        <v>74</v>
      </c>
      <c r="AD419" t="s">
        <v>74</v>
      </c>
      <c r="AE419" t="s">
        <v>74</v>
      </c>
      <c r="AF419" t="s">
        <v>74</v>
      </c>
      <c r="AG419">
        <v>18</v>
      </c>
      <c r="AH419">
        <v>19</v>
      </c>
      <c r="AI419">
        <v>20</v>
      </c>
      <c r="AJ419">
        <v>0</v>
      </c>
      <c r="AK419">
        <v>4</v>
      </c>
      <c r="AL419" t="s">
        <v>88</v>
      </c>
      <c r="AM419" t="s">
        <v>89</v>
      </c>
      <c r="AN419" t="s">
        <v>3984</v>
      </c>
      <c r="AO419" t="s">
        <v>3985</v>
      </c>
      <c r="AP419" t="s">
        <v>74</v>
      </c>
      <c r="AQ419" t="s">
        <v>74</v>
      </c>
      <c r="AR419" t="s">
        <v>3987</v>
      </c>
      <c r="AS419" t="s">
        <v>3988</v>
      </c>
      <c r="AT419" t="s">
        <v>5770</v>
      </c>
      <c r="AU419">
        <v>2005</v>
      </c>
      <c r="AV419">
        <v>29</v>
      </c>
      <c r="AW419">
        <v>1</v>
      </c>
      <c r="AX419" t="s">
        <v>74</v>
      </c>
      <c r="AY419" t="s">
        <v>74</v>
      </c>
      <c r="AZ419" t="s">
        <v>74</v>
      </c>
      <c r="BA419" t="s">
        <v>74</v>
      </c>
      <c r="BB419">
        <v>77</v>
      </c>
      <c r="BC419">
        <v>79</v>
      </c>
      <c r="BD419" t="s">
        <v>74</v>
      </c>
      <c r="BE419" t="s">
        <v>6794</v>
      </c>
      <c r="BF419" t="str">
        <f>HYPERLINK("http://dx.doi.org/10.1007/s00300-005-0030-4","http://dx.doi.org/10.1007/s00300-005-0030-4")</f>
        <v>http://dx.doi.org/10.1007/s00300-005-0030-4</v>
      </c>
      <c r="BG419" t="s">
        <v>74</v>
      </c>
      <c r="BH419" t="s">
        <v>74</v>
      </c>
      <c r="BI419">
        <v>3</v>
      </c>
      <c r="BJ419" t="s">
        <v>3990</v>
      </c>
      <c r="BK419" t="s">
        <v>98</v>
      </c>
      <c r="BL419" t="s">
        <v>147</v>
      </c>
      <c r="BM419" t="s">
        <v>6698</v>
      </c>
      <c r="BN419" t="s">
        <v>74</v>
      </c>
      <c r="BO419" t="s">
        <v>74</v>
      </c>
      <c r="BP419" t="s">
        <v>74</v>
      </c>
      <c r="BQ419" t="s">
        <v>74</v>
      </c>
      <c r="BR419" t="s">
        <v>101</v>
      </c>
      <c r="BS419" t="s">
        <v>6795</v>
      </c>
      <c r="BT419" t="str">
        <f>HYPERLINK("https%3A%2F%2Fwww.webofscience.com%2Fwos%2Fwoscc%2Ffull-record%2FWOS:000233869100011","View Full Record in Web of Science")</f>
        <v>View Full Record in Web of Science</v>
      </c>
    </row>
    <row r="420" spans="1:72" x14ac:dyDescent="0.15">
      <c r="A420" t="s">
        <v>72</v>
      </c>
      <c r="B420" t="s">
        <v>6796</v>
      </c>
      <c r="C420" t="s">
        <v>74</v>
      </c>
      <c r="D420" t="s">
        <v>74</v>
      </c>
      <c r="E420" t="s">
        <v>74</v>
      </c>
      <c r="F420" t="s">
        <v>6796</v>
      </c>
      <c r="G420" t="s">
        <v>74</v>
      </c>
      <c r="H420" t="s">
        <v>74</v>
      </c>
      <c r="I420" t="s">
        <v>6797</v>
      </c>
      <c r="J420" t="s">
        <v>6798</v>
      </c>
      <c r="K420" t="s">
        <v>74</v>
      </c>
      <c r="L420" t="s">
        <v>74</v>
      </c>
      <c r="M420" t="s">
        <v>77</v>
      </c>
      <c r="N420" t="s">
        <v>78</v>
      </c>
      <c r="O420" t="s">
        <v>74</v>
      </c>
      <c r="P420" t="s">
        <v>74</v>
      </c>
      <c r="Q420" t="s">
        <v>74</v>
      </c>
      <c r="R420" t="s">
        <v>74</v>
      </c>
      <c r="S420" t="s">
        <v>74</v>
      </c>
      <c r="T420" t="s">
        <v>6799</v>
      </c>
      <c r="U420" t="s">
        <v>6800</v>
      </c>
      <c r="V420" t="s">
        <v>6801</v>
      </c>
      <c r="W420" t="s">
        <v>6802</v>
      </c>
      <c r="X420" t="s">
        <v>6803</v>
      </c>
      <c r="Y420" t="s">
        <v>6804</v>
      </c>
      <c r="Z420" t="s">
        <v>6805</v>
      </c>
      <c r="AA420" t="s">
        <v>6806</v>
      </c>
      <c r="AB420" t="s">
        <v>6807</v>
      </c>
      <c r="AC420" t="s">
        <v>74</v>
      </c>
      <c r="AD420" t="s">
        <v>74</v>
      </c>
      <c r="AE420" t="s">
        <v>74</v>
      </c>
      <c r="AF420" t="s">
        <v>74</v>
      </c>
      <c r="AG420">
        <v>91</v>
      </c>
      <c r="AH420">
        <v>25</v>
      </c>
      <c r="AI420">
        <v>32</v>
      </c>
      <c r="AJ420">
        <v>0</v>
      </c>
      <c r="AK420">
        <v>6</v>
      </c>
      <c r="AL420" t="s">
        <v>3283</v>
      </c>
      <c r="AM420" t="s">
        <v>1148</v>
      </c>
      <c r="AN420" t="s">
        <v>3284</v>
      </c>
      <c r="AO420" t="s">
        <v>6808</v>
      </c>
      <c r="AP420" t="s">
        <v>6809</v>
      </c>
      <c r="AQ420" t="s">
        <v>74</v>
      </c>
      <c r="AR420" t="s">
        <v>6810</v>
      </c>
      <c r="AS420" t="s">
        <v>6811</v>
      </c>
      <c r="AT420" t="s">
        <v>5770</v>
      </c>
      <c r="AU420">
        <v>2005</v>
      </c>
      <c r="AV420">
        <v>137</v>
      </c>
      <c r="AW420" t="s">
        <v>530</v>
      </c>
      <c r="AX420" t="s">
        <v>74</v>
      </c>
      <c r="AY420" t="s">
        <v>74</v>
      </c>
      <c r="AZ420" t="s">
        <v>74</v>
      </c>
      <c r="BA420" t="s">
        <v>74</v>
      </c>
      <c r="BB420">
        <v>83</v>
      </c>
      <c r="BC420">
        <v>103</v>
      </c>
      <c r="BD420" t="s">
        <v>74</v>
      </c>
      <c r="BE420" t="s">
        <v>6812</v>
      </c>
      <c r="BF420" t="str">
        <f>HYPERLINK("http://dx.doi.org/10.1016/j.revpalbo.2005.08.004","http://dx.doi.org/10.1016/j.revpalbo.2005.08.004")</f>
        <v>http://dx.doi.org/10.1016/j.revpalbo.2005.08.004</v>
      </c>
      <c r="BG420" t="s">
        <v>74</v>
      </c>
      <c r="BH420" t="s">
        <v>74</v>
      </c>
      <c r="BI420">
        <v>21</v>
      </c>
      <c r="BJ420" t="s">
        <v>6813</v>
      </c>
      <c r="BK420" t="s">
        <v>98</v>
      </c>
      <c r="BL420" t="s">
        <v>6813</v>
      </c>
      <c r="BM420" t="s">
        <v>6814</v>
      </c>
      <c r="BN420" t="s">
        <v>74</v>
      </c>
      <c r="BO420" t="s">
        <v>74</v>
      </c>
      <c r="BP420" t="s">
        <v>74</v>
      </c>
      <c r="BQ420" t="s">
        <v>74</v>
      </c>
      <c r="BR420" t="s">
        <v>101</v>
      </c>
      <c r="BS420" t="s">
        <v>6815</v>
      </c>
      <c r="BT420" t="str">
        <f>HYPERLINK("https%3A%2F%2Fwww.webofscience.com%2Fwos%2Fwoscc%2Ffull-record%2FWOS:000234187600001","View Full Record in Web of Science")</f>
        <v>View Full Record in Web of Science</v>
      </c>
    </row>
    <row r="421" spans="1:72" x14ac:dyDescent="0.15">
      <c r="A421" t="s">
        <v>72</v>
      </c>
      <c r="B421" t="s">
        <v>6816</v>
      </c>
      <c r="C421" t="s">
        <v>74</v>
      </c>
      <c r="D421" t="s">
        <v>74</v>
      </c>
      <c r="E421" t="s">
        <v>74</v>
      </c>
      <c r="F421" t="s">
        <v>6816</v>
      </c>
      <c r="G421" t="s">
        <v>74</v>
      </c>
      <c r="H421" t="s">
        <v>74</v>
      </c>
      <c r="I421" t="s">
        <v>6817</v>
      </c>
      <c r="J421" t="s">
        <v>6818</v>
      </c>
      <c r="K421" t="s">
        <v>74</v>
      </c>
      <c r="L421" t="s">
        <v>74</v>
      </c>
      <c r="M421" t="s">
        <v>77</v>
      </c>
      <c r="N421" t="s">
        <v>78</v>
      </c>
      <c r="O421" t="s">
        <v>74</v>
      </c>
      <c r="P421" t="s">
        <v>74</v>
      </c>
      <c r="Q421" t="s">
        <v>74</v>
      </c>
      <c r="R421" t="s">
        <v>74</v>
      </c>
      <c r="S421" t="s">
        <v>74</v>
      </c>
      <c r="T421" t="s">
        <v>6819</v>
      </c>
      <c r="U421" t="s">
        <v>6820</v>
      </c>
      <c r="V421" t="s">
        <v>6821</v>
      </c>
      <c r="W421" t="s">
        <v>6822</v>
      </c>
      <c r="X421" t="s">
        <v>6823</v>
      </c>
      <c r="Y421" t="s">
        <v>6824</v>
      </c>
      <c r="Z421" t="s">
        <v>6825</v>
      </c>
      <c r="AA421" t="s">
        <v>74</v>
      </c>
      <c r="AB421" t="s">
        <v>6075</v>
      </c>
      <c r="AC421" t="s">
        <v>74</v>
      </c>
      <c r="AD421" t="s">
        <v>74</v>
      </c>
      <c r="AE421" t="s">
        <v>74</v>
      </c>
      <c r="AF421" t="s">
        <v>74</v>
      </c>
      <c r="AG421">
        <v>47</v>
      </c>
      <c r="AH421">
        <v>57</v>
      </c>
      <c r="AI421">
        <v>63</v>
      </c>
      <c r="AJ421">
        <v>1</v>
      </c>
      <c r="AK421">
        <v>20</v>
      </c>
      <c r="AL421" t="s">
        <v>2025</v>
      </c>
      <c r="AM421" t="s">
        <v>2026</v>
      </c>
      <c r="AN421" t="s">
        <v>2027</v>
      </c>
      <c r="AO421" t="s">
        <v>6826</v>
      </c>
      <c r="AP421" t="s">
        <v>6827</v>
      </c>
      <c r="AQ421" t="s">
        <v>74</v>
      </c>
      <c r="AR421" t="s">
        <v>6828</v>
      </c>
      <c r="AS421" t="s">
        <v>6829</v>
      </c>
      <c r="AT421" t="s">
        <v>5770</v>
      </c>
      <c r="AU421">
        <v>2005</v>
      </c>
      <c r="AV421">
        <v>25</v>
      </c>
      <c r="AW421">
        <v>6</v>
      </c>
      <c r="AX421" t="s">
        <v>74</v>
      </c>
      <c r="AY421" t="s">
        <v>74</v>
      </c>
      <c r="AZ421" t="s">
        <v>74</v>
      </c>
      <c r="BA421" t="s">
        <v>74</v>
      </c>
      <c r="BB421">
        <v>1399</v>
      </c>
      <c r="BC421">
        <v>1407</v>
      </c>
      <c r="BD421" t="s">
        <v>74</v>
      </c>
      <c r="BE421" t="s">
        <v>6830</v>
      </c>
      <c r="BF421" t="str">
        <f>HYPERLINK("http://dx.doi.org/10.1111/j.1539-6924.2005.00687.x","http://dx.doi.org/10.1111/j.1539-6924.2005.00687.x")</f>
        <v>http://dx.doi.org/10.1111/j.1539-6924.2005.00687.x</v>
      </c>
      <c r="BG421" t="s">
        <v>74</v>
      </c>
      <c r="BH421" t="s">
        <v>74</v>
      </c>
      <c r="BI421">
        <v>9</v>
      </c>
      <c r="BJ421" t="s">
        <v>6831</v>
      </c>
      <c r="BK421" t="s">
        <v>1389</v>
      </c>
      <c r="BL421" t="s">
        <v>6832</v>
      </c>
      <c r="BM421" t="s">
        <v>6833</v>
      </c>
      <c r="BN421">
        <v>16506970</v>
      </c>
      <c r="BO421" t="s">
        <v>1900</v>
      </c>
      <c r="BP421" t="s">
        <v>74</v>
      </c>
      <c r="BQ421" t="s">
        <v>74</v>
      </c>
      <c r="BR421" t="s">
        <v>101</v>
      </c>
      <c r="BS421" t="s">
        <v>6834</v>
      </c>
      <c r="BT421" t="str">
        <f>HYPERLINK("https%3A%2F%2Fwww.webofscience.com%2Fwos%2Fwoscc%2Ffull-record%2FWOS:000234211500004","View Full Record in Web of Science")</f>
        <v>View Full Record in Web of Science</v>
      </c>
    </row>
    <row r="422" spans="1:72" x14ac:dyDescent="0.15">
      <c r="A422" t="s">
        <v>72</v>
      </c>
      <c r="B422" t="s">
        <v>6835</v>
      </c>
      <c r="C422" t="s">
        <v>74</v>
      </c>
      <c r="D422" t="s">
        <v>74</v>
      </c>
      <c r="E422" t="s">
        <v>74</v>
      </c>
      <c r="F422" t="s">
        <v>6835</v>
      </c>
      <c r="G422" t="s">
        <v>74</v>
      </c>
      <c r="H422" t="s">
        <v>74</v>
      </c>
      <c r="I422" t="s">
        <v>6836</v>
      </c>
      <c r="J422" t="s">
        <v>6818</v>
      </c>
      <c r="K422" t="s">
        <v>74</v>
      </c>
      <c r="L422" t="s">
        <v>74</v>
      </c>
      <c r="M422" t="s">
        <v>77</v>
      </c>
      <c r="N422" t="s">
        <v>78</v>
      </c>
      <c r="O422" t="s">
        <v>74</v>
      </c>
      <c r="P422" t="s">
        <v>74</v>
      </c>
      <c r="Q422" t="s">
        <v>74</v>
      </c>
      <c r="R422" t="s">
        <v>74</v>
      </c>
      <c r="S422" t="s">
        <v>74</v>
      </c>
      <c r="T422" t="s">
        <v>6837</v>
      </c>
      <c r="U422" t="s">
        <v>6838</v>
      </c>
      <c r="V422" t="s">
        <v>6839</v>
      </c>
      <c r="W422" t="s">
        <v>6840</v>
      </c>
      <c r="X422" t="s">
        <v>6841</v>
      </c>
      <c r="Y422" t="s">
        <v>6842</v>
      </c>
      <c r="Z422" t="s">
        <v>6843</v>
      </c>
      <c r="AA422" t="s">
        <v>6844</v>
      </c>
      <c r="AB422" t="s">
        <v>6845</v>
      </c>
      <c r="AC422" t="s">
        <v>74</v>
      </c>
      <c r="AD422" t="s">
        <v>74</v>
      </c>
      <c r="AE422" t="s">
        <v>74</v>
      </c>
      <c r="AF422" t="s">
        <v>74</v>
      </c>
      <c r="AG422">
        <v>55</v>
      </c>
      <c r="AH422">
        <v>46</v>
      </c>
      <c r="AI422">
        <v>51</v>
      </c>
      <c r="AJ422">
        <v>1</v>
      </c>
      <c r="AK422">
        <v>29</v>
      </c>
      <c r="AL422" t="s">
        <v>2025</v>
      </c>
      <c r="AM422" t="s">
        <v>2026</v>
      </c>
      <c r="AN422" t="s">
        <v>2027</v>
      </c>
      <c r="AO422" t="s">
        <v>6826</v>
      </c>
      <c r="AP422" t="s">
        <v>6827</v>
      </c>
      <c r="AQ422" t="s">
        <v>74</v>
      </c>
      <c r="AR422" t="s">
        <v>6828</v>
      </c>
      <c r="AS422" t="s">
        <v>6829</v>
      </c>
      <c r="AT422" t="s">
        <v>5770</v>
      </c>
      <c r="AU422">
        <v>2005</v>
      </c>
      <c r="AV422">
        <v>25</v>
      </c>
      <c r="AW422">
        <v>6</v>
      </c>
      <c r="AX422" t="s">
        <v>74</v>
      </c>
      <c r="AY422" t="s">
        <v>74</v>
      </c>
      <c r="AZ422" t="s">
        <v>74</v>
      </c>
      <c r="BA422" t="s">
        <v>74</v>
      </c>
      <c r="BB422">
        <v>1419</v>
      </c>
      <c r="BC422">
        <v>1431</v>
      </c>
      <c r="BD422" t="s">
        <v>74</v>
      </c>
      <c r="BE422" t="s">
        <v>6846</v>
      </c>
      <c r="BF422" t="str">
        <f>HYPERLINK("http://dx.doi.org/10.1111/j.1539-6924.2005.00689.x","http://dx.doi.org/10.1111/j.1539-6924.2005.00689.x")</f>
        <v>http://dx.doi.org/10.1111/j.1539-6924.2005.00689.x</v>
      </c>
      <c r="BG422" t="s">
        <v>74</v>
      </c>
      <c r="BH422" t="s">
        <v>74</v>
      </c>
      <c r="BI422">
        <v>13</v>
      </c>
      <c r="BJ422" t="s">
        <v>6831</v>
      </c>
      <c r="BK422" t="s">
        <v>1389</v>
      </c>
      <c r="BL422" t="s">
        <v>6832</v>
      </c>
      <c r="BM422" t="s">
        <v>6833</v>
      </c>
      <c r="BN422">
        <v>16506972</v>
      </c>
      <c r="BO422" t="s">
        <v>74</v>
      </c>
      <c r="BP422" t="s">
        <v>74</v>
      </c>
      <c r="BQ422" t="s">
        <v>74</v>
      </c>
      <c r="BR422" t="s">
        <v>101</v>
      </c>
      <c r="BS422" t="s">
        <v>6847</v>
      </c>
      <c r="BT422" t="str">
        <f>HYPERLINK("https%3A%2F%2Fwww.webofscience.com%2Fwos%2Fwoscc%2Ffull-record%2FWOS:000234211500006","View Full Record in Web of Science")</f>
        <v>View Full Record in Web of Science</v>
      </c>
    </row>
    <row r="423" spans="1:72" x14ac:dyDescent="0.15">
      <c r="A423" t="s">
        <v>72</v>
      </c>
      <c r="B423" t="s">
        <v>6848</v>
      </c>
      <c r="C423" t="s">
        <v>74</v>
      </c>
      <c r="D423" t="s">
        <v>74</v>
      </c>
      <c r="E423" t="s">
        <v>74</v>
      </c>
      <c r="F423" t="s">
        <v>6848</v>
      </c>
      <c r="G423" t="s">
        <v>74</v>
      </c>
      <c r="H423" t="s">
        <v>74</v>
      </c>
      <c r="I423" t="s">
        <v>6849</v>
      </c>
      <c r="J423" t="s">
        <v>6850</v>
      </c>
      <c r="K423" t="s">
        <v>74</v>
      </c>
      <c r="L423" t="s">
        <v>74</v>
      </c>
      <c r="M423" t="s">
        <v>77</v>
      </c>
      <c r="N423" t="s">
        <v>5777</v>
      </c>
      <c r="O423" t="s">
        <v>74</v>
      </c>
      <c r="P423" t="s">
        <v>74</v>
      </c>
      <c r="Q423" t="s">
        <v>74</v>
      </c>
      <c r="R423" t="s">
        <v>74</v>
      </c>
      <c r="S423" t="s">
        <v>74</v>
      </c>
      <c r="T423" t="s">
        <v>74</v>
      </c>
      <c r="U423" t="s">
        <v>74</v>
      </c>
      <c r="V423" t="s">
        <v>74</v>
      </c>
      <c r="W423" t="s">
        <v>6851</v>
      </c>
      <c r="X423" t="s">
        <v>426</v>
      </c>
      <c r="Y423" t="s">
        <v>6852</v>
      </c>
      <c r="Z423" t="s">
        <v>74</v>
      </c>
      <c r="AA423" t="s">
        <v>74</v>
      </c>
      <c r="AB423" t="s">
        <v>74</v>
      </c>
      <c r="AC423" t="s">
        <v>74</v>
      </c>
      <c r="AD423" t="s">
        <v>74</v>
      </c>
      <c r="AE423" t="s">
        <v>74</v>
      </c>
      <c r="AF423" t="s">
        <v>74</v>
      </c>
      <c r="AG423">
        <v>0</v>
      </c>
      <c r="AH423">
        <v>9</v>
      </c>
      <c r="AI423">
        <v>10</v>
      </c>
      <c r="AJ423">
        <v>0</v>
      </c>
      <c r="AK423">
        <v>0</v>
      </c>
      <c r="AL423" t="s">
        <v>6853</v>
      </c>
      <c r="AM423" t="s">
        <v>6854</v>
      </c>
      <c r="AN423" t="s">
        <v>6855</v>
      </c>
      <c r="AO423" t="s">
        <v>6856</v>
      </c>
      <c r="AP423" t="s">
        <v>74</v>
      </c>
      <c r="AQ423" t="s">
        <v>74</v>
      </c>
      <c r="AR423" t="s">
        <v>6857</v>
      </c>
      <c r="AS423" t="s">
        <v>6858</v>
      </c>
      <c r="AT423" t="s">
        <v>5770</v>
      </c>
      <c r="AU423">
        <v>2005</v>
      </c>
      <c r="AV423">
        <v>69</v>
      </c>
      <c r="AW423" t="s">
        <v>74</v>
      </c>
      <c r="AX423" t="s">
        <v>74</v>
      </c>
      <c r="AY423">
        <v>2</v>
      </c>
      <c r="AZ423" t="s">
        <v>74</v>
      </c>
      <c r="BA423" t="s">
        <v>74</v>
      </c>
      <c r="BB423">
        <v>3</v>
      </c>
      <c r="BC423">
        <v>5</v>
      </c>
      <c r="BD423" t="s">
        <v>74</v>
      </c>
      <c r="BE423" t="s">
        <v>6859</v>
      </c>
      <c r="BF423" t="str">
        <f>HYPERLINK("http://dx.doi.org/10.3989/scimar.2005.69s23","http://dx.doi.org/10.3989/scimar.2005.69s23")</f>
        <v>http://dx.doi.org/10.3989/scimar.2005.69s23</v>
      </c>
      <c r="BG423" t="s">
        <v>74</v>
      </c>
      <c r="BH423" t="s">
        <v>74</v>
      </c>
      <c r="BI423">
        <v>3</v>
      </c>
      <c r="BJ423" t="s">
        <v>206</v>
      </c>
      <c r="BK423" t="s">
        <v>98</v>
      </c>
      <c r="BL423" t="s">
        <v>206</v>
      </c>
      <c r="BM423" t="s">
        <v>6860</v>
      </c>
      <c r="BN423" t="s">
        <v>74</v>
      </c>
      <c r="BO423" t="s">
        <v>6861</v>
      </c>
      <c r="BP423" t="s">
        <v>74</v>
      </c>
      <c r="BQ423" t="s">
        <v>74</v>
      </c>
      <c r="BR423" t="s">
        <v>101</v>
      </c>
      <c r="BS423" t="s">
        <v>6862</v>
      </c>
      <c r="BT423" t="str">
        <f>HYPERLINK("https%3A%2F%2Fwww.webofscience.com%2Fwos%2Fwoscc%2Ffull-record%2FWOS:000234678700001","View Full Record in Web of Science")</f>
        <v>View Full Record in Web of Science</v>
      </c>
    </row>
    <row r="424" spans="1:72" x14ac:dyDescent="0.15">
      <c r="A424" t="s">
        <v>72</v>
      </c>
      <c r="B424" t="s">
        <v>6863</v>
      </c>
      <c r="C424" t="s">
        <v>74</v>
      </c>
      <c r="D424" t="s">
        <v>74</v>
      </c>
      <c r="E424" t="s">
        <v>74</v>
      </c>
      <c r="F424" t="s">
        <v>6863</v>
      </c>
      <c r="G424" t="s">
        <v>74</v>
      </c>
      <c r="H424" t="s">
        <v>74</v>
      </c>
      <c r="I424" t="s">
        <v>6864</v>
      </c>
      <c r="J424" t="s">
        <v>6850</v>
      </c>
      <c r="K424" t="s">
        <v>74</v>
      </c>
      <c r="L424" t="s">
        <v>74</v>
      </c>
      <c r="M424" t="s">
        <v>77</v>
      </c>
      <c r="N424" t="s">
        <v>335</v>
      </c>
      <c r="O424" t="s">
        <v>6865</v>
      </c>
      <c r="P424">
        <v>2003</v>
      </c>
      <c r="Q424" t="s">
        <v>6866</v>
      </c>
      <c r="R424" t="s">
        <v>74</v>
      </c>
      <c r="S424" t="s">
        <v>74</v>
      </c>
      <c r="T424" t="s">
        <v>6867</v>
      </c>
      <c r="U424" t="s">
        <v>6868</v>
      </c>
      <c r="V424" t="s">
        <v>6869</v>
      </c>
      <c r="W424" t="s">
        <v>6870</v>
      </c>
      <c r="X424" t="s">
        <v>6871</v>
      </c>
      <c r="Y424" t="s">
        <v>6872</v>
      </c>
      <c r="Z424" t="s">
        <v>6873</v>
      </c>
      <c r="AA424" t="s">
        <v>6874</v>
      </c>
      <c r="AB424" t="s">
        <v>6875</v>
      </c>
      <c r="AC424" t="s">
        <v>74</v>
      </c>
      <c r="AD424" t="s">
        <v>74</v>
      </c>
      <c r="AE424" t="s">
        <v>74</v>
      </c>
      <c r="AF424" t="s">
        <v>74</v>
      </c>
      <c r="AG424">
        <v>24</v>
      </c>
      <c r="AH424">
        <v>22</v>
      </c>
      <c r="AI424">
        <v>24</v>
      </c>
      <c r="AJ424">
        <v>0</v>
      </c>
      <c r="AK424">
        <v>1</v>
      </c>
      <c r="AL424" t="s">
        <v>6876</v>
      </c>
      <c r="AM424" t="s">
        <v>1342</v>
      </c>
      <c r="AN424" t="s">
        <v>6877</v>
      </c>
      <c r="AO424" t="s">
        <v>6856</v>
      </c>
      <c r="AP424" t="s">
        <v>6878</v>
      </c>
      <c r="AQ424" t="s">
        <v>74</v>
      </c>
      <c r="AR424" t="s">
        <v>6857</v>
      </c>
      <c r="AS424" t="s">
        <v>6858</v>
      </c>
      <c r="AT424" t="s">
        <v>5770</v>
      </c>
      <c r="AU424">
        <v>2005</v>
      </c>
      <c r="AV424">
        <v>69</v>
      </c>
      <c r="AW424" t="s">
        <v>74</v>
      </c>
      <c r="AX424" t="s">
        <v>74</v>
      </c>
      <c r="AY424">
        <v>2</v>
      </c>
      <c r="AZ424" t="s">
        <v>74</v>
      </c>
      <c r="BA424" t="s">
        <v>74</v>
      </c>
      <c r="BB424">
        <v>7</v>
      </c>
      <c r="BC424">
        <v>15</v>
      </c>
      <c r="BD424" t="s">
        <v>74</v>
      </c>
      <c r="BE424" t="s">
        <v>6879</v>
      </c>
      <c r="BF424" t="str">
        <f>HYPERLINK("http://dx.doi.org/10.3989/scimar.2005.69s27","http://dx.doi.org/10.3989/scimar.2005.69s27")</f>
        <v>http://dx.doi.org/10.3989/scimar.2005.69s27</v>
      </c>
      <c r="BG424" t="s">
        <v>74</v>
      </c>
      <c r="BH424" t="s">
        <v>74</v>
      </c>
      <c r="BI424">
        <v>9</v>
      </c>
      <c r="BJ424" t="s">
        <v>206</v>
      </c>
      <c r="BK424" t="s">
        <v>1411</v>
      </c>
      <c r="BL424" t="s">
        <v>206</v>
      </c>
      <c r="BM424" t="s">
        <v>6860</v>
      </c>
      <c r="BN424" t="s">
        <v>74</v>
      </c>
      <c r="BO424" t="s">
        <v>450</v>
      </c>
      <c r="BP424" t="s">
        <v>74</v>
      </c>
      <c r="BQ424" t="s">
        <v>74</v>
      </c>
      <c r="BR424" t="s">
        <v>101</v>
      </c>
      <c r="BS424" t="s">
        <v>6880</v>
      </c>
      <c r="BT424" t="str">
        <f>HYPERLINK("https%3A%2F%2Fwww.webofscience.com%2Fwos%2Fwoscc%2Ffull-record%2FWOS:000234678700002","View Full Record in Web of Science")</f>
        <v>View Full Record in Web of Science</v>
      </c>
    </row>
    <row r="425" spans="1:72" x14ac:dyDescent="0.15">
      <c r="A425" t="s">
        <v>72</v>
      </c>
      <c r="B425" t="s">
        <v>6881</v>
      </c>
      <c r="C425" t="s">
        <v>74</v>
      </c>
      <c r="D425" t="s">
        <v>74</v>
      </c>
      <c r="E425" t="s">
        <v>74</v>
      </c>
      <c r="F425" t="s">
        <v>6881</v>
      </c>
      <c r="G425" t="s">
        <v>74</v>
      </c>
      <c r="H425" t="s">
        <v>74</v>
      </c>
      <c r="I425" t="s">
        <v>6882</v>
      </c>
      <c r="J425" t="s">
        <v>6850</v>
      </c>
      <c r="K425" t="s">
        <v>74</v>
      </c>
      <c r="L425" t="s">
        <v>74</v>
      </c>
      <c r="M425" t="s">
        <v>77</v>
      </c>
      <c r="N425" t="s">
        <v>335</v>
      </c>
      <c r="O425" t="s">
        <v>6865</v>
      </c>
      <c r="P425">
        <v>2003</v>
      </c>
      <c r="Q425" t="s">
        <v>6866</v>
      </c>
      <c r="R425" t="s">
        <v>74</v>
      </c>
      <c r="S425" t="s">
        <v>74</v>
      </c>
      <c r="T425" t="s">
        <v>6883</v>
      </c>
      <c r="U425" t="s">
        <v>6884</v>
      </c>
      <c r="V425" t="s">
        <v>6885</v>
      </c>
      <c r="W425" t="s">
        <v>6886</v>
      </c>
      <c r="X425" t="s">
        <v>6887</v>
      </c>
      <c r="Y425" t="s">
        <v>6888</v>
      </c>
      <c r="Z425" t="s">
        <v>6889</v>
      </c>
      <c r="AA425" t="s">
        <v>6890</v>
      </c>
      <c r="AB425" t="s">
        <v>6891</v>
      </c>
      <c r="AC425" t="s">
        <v>74</v>
      </c>
      <c r="AD425" t="s">
        <v>74</v>
      </c>
      <c r="AE425" t="s">
        <v>74</v>
      </c>
      <c r="AF425" t="s">
        <v>74</v>
      </c>
      <c r="AG425">
        <v>56</v>
      </c>
      <c r="AH425">
        <v>23</v>
      </c>
      <c r="AI425">
        <v>24</v>
      </c>
      <c r="AJ425">
        <v>0</v>
      </c>
      <c r="AK425">
        <v>8</v>
      </c>
      <c r="AL425" t="s">
        <v>6876</v>
      </c>
      <c r="AM425" t="s">
        <v>1342</v>
      </c>
      <c r="AN425" t="s">
        <v>6877</v>
      </c>
      <c r="AO425" t="s">
        <v>6856</v>
      </c>
      <c r="AP425" t="s">
        <v>6878</v>
      </c>
      <c r="AQ425" t="s">
        <v>74</v>
      </c>
      <c r="AR425" t="s">
        <v>6857</v>
      </c>
      <c r="AS425" t="s">
        <v>6858</v>
      </c>
      <c r="AT425" t="s">
        <v>5770</v>
      </c>
      <c r="AU425">
        <v>2005</v>
      </c>
      <c r="AV425">
        <v>69</v>
      </c>
      <c r="AW425" t="s">
        <v>74</v>
      </c>
      <c r="AX425" t="s">
        <v>74</v>
      </c>
      <c r="AY425">
        <v>2</v>
      </c>
      <c r="AZ425" t="s">
        <v>74</v>
      </c>
      <c r="BA425" t="s">
        <v>74</v>
      </c>
      <c r="BB425">
        <v>17</v>
      </c>
      <c r="BC425">
        <v>26</v>
      </c>
      <c r="BD425" t="s">
        <v>74</v>
      </c>
      <c r="BE425" t="s">
        <v>6892</v>
      </c>
      <c r="BF425" t="str">
        <f>HYPERLINK("http://dx.doi.org/10.3989/scimar.2005.69s217","http://dx.doi.org/10.3989/scimar.2005.69s217")</f>
        <v>http://dx.doi.org/10.3989/scimar.2005.69s217</v>
      </c>
      <c r="BG425" t="s">
        <v>74</v>
      </c>
      <c r="BH425" t="s">
        <v>74</v>
      </c>
      <c r="BI425">
        <v>10</v>
      </c>
      <c r="BJ425" t="s">
        <v>206</v>
      </c>
      <c r="BK425" t="s">
        <v>1411</v>
      </c>
      <c r="BL425" t="s">
        <v>206</v>
      </c>
      <c r="BM425" t="s">
        <v>6860</v>
      </c>
      <c r="BN425" t="s">
        <v>74</v>
      </c>
      <c r="BO425" t="s">
        <v>436</v>
      </c>
      <c r="BP425" t="s">
        <v>74</v>
      </c>
      <c r="BQ425" t="s">
        <v>74</v>
      </c>
      <c r="BR425" t="s">
        <v>101</v>
      </c>
      <c r="BS425" t="s">
        <v>6893</v>
      </c>
      <c r="BT425" t="str">
        <f>HYPERLINK("https%3A%2F%2Fwww.webofscience.com%2Fwos%2Fwoscc%2Ffull-record%2FWOS:000234678700003","View Full Record in Web of Science")</f>
        <v>View Full Record in Web of Science</v>
      </c>
    </row>
    <row r="426" spans="1:72" x14ac:dyDescent="0.15">
      <c r="A426" t="s">
        <v>72</v>
      </c>
      <c r="B426" t="s">
        <v>6894</v>
      </c>
      <c r="C426" t="s">
        <v>74</v>
      </c>
      <c r="D426" t="s">
        <v>74</v>
      </c>
      <c r="E426" t="s">
        <v>74</v>
      </c>
      <c r="F426" t="s">
        <v>6894</v>
      </c>
      <c r="G426" t="s">
        <v>74</v>
      </c>
      <c r="H426" t="s">
        <v>74</v>
      </c>
      <c r="I426" t="s">
        <v>6895</v>
      </c>
      <c r="J426" t="s">
        <v>6850</v>
      </c>
      <c r="K426" t="s">
        <v>74</v>
      </c>
      <c r="L426" t="s">
        <v>74</v>
      </c>
      <c r="M426" t="s">
        <v>77</v>
      </c>
      <c r="N426" t="s">
        <v>335</v>
      </c>
      <c r="O426" t="s">
        <v>6865</v>
      </c>
      <c r="P426">
        <v>2003</v>
      </c>
      <c r="Q426" t="s">
        <v>6866</v>
      </c>
      <c r="R426" t="s">
        <v>74</v>
      </c>
      <c r="S426" t="s">
        <v>74</v>
      </c>
      <c r="T426" t="s">
        <v>6896</v>
      </c>
      <c r="U426" t="s">
        <v>6897</v>
      </c>
      <c r="V426" t="s">
        <v>6898</v>
      </c>
      <c r="W426" t="s">
        <v>6899</v>
      </c>
      <c r="X426" t="s">
        <v>6900</v>
      </c>
      <c r="Y426" t="s">
        <v>6901</v>
      </c>
      <c r="Z426" t="s">
        <v>6902</v>
      </c>
      <c r="AA426" t="s">
        <v>74</v>
      </c>
      <c r="AB426" t="s">
        <v>74</v>
      </c>
      <c r="AC426" t="s">
        <v>74</v>
      </c>
      <c r="AD426" t="s">
        <v>74</v>
      </c>
      <c r="AE426" t="s">
        <v>74</v>
      </c>
      <c r="AF426" t="s">
        <v>74</v>
      </c>
      <c r="AG426">
        <v>52</v>
      </c>
      <c r="AH426">
        <v>20</v>
      </c>
      <c r="AI426">
        <v>23</v>
      </c>
      <c r="AJ426">
        <v>0</v>
      </c>
      <c r="AK426">
        <v>1</v>
      </c>
      <c r="AL426" t="s">
        <v>6876</v>
      </c>
      <c r="AM426" t="s">
        <v>1342</v>
      </c>
      <c r="AN426" t="s">
        <v>6877</v>
      </c>
      <c r="AO426" t="s">
        <v>6856</v>
      </c>
      <c r="AP426" t="s">
        <v>6878</v>
      </c>
      <c r="AQ426" t="s">
        <v>74</v>
      </c>
      <c r="AR426" t="s">
        <v>6857</v>
      </c>
      <c r="AS426" t="s">
        <v>6858</v>
      </c>
      <c r="AT426" t="s">
        <v>5770</v>
      </c>
      <c r="AU426">
        <v>2005</v>
      </c>
      <c r="AV426">
        <v>69</v>
      </c>
      <c r="AW426" t="s">
        <v>74</v>
      </c>
      <c r="AX426" t="s">
        <v>74</v>
      </c>
      <c r="AY426">
        <v>2</v>
      </c>
      <c r="AZ426" t="s">
        <v>74</v>
      </c>
      <c r="BA426" t="s">
        <v>74</v>
      </c>
      <c r="BB426">
        <v>27</v>
      </c>
      <c r="BC426">
        <v>37</v>
      </c>
      <c r="BD426" t="s">
        <v>74</v>
      </c>
      <c r="BE426" t="s">
        <v>6903</v>
      </c>
      <c r="BF426" t="str">
        <f>HYPERLINK("http://dx.doi.org/10.3989/scimar.2005.69s227","http://dx.doi.org/10.3989/scimar.2005.69s227")</f>
        <v>http://dx.doi.org/10.3989/scimar.2005.69s227</v>
      </c>
      <c r="BG426" t="s">
        <v>74</v>
      </c>
      <c r="BH426" t="s">
        <v>74</v>
      </c>
      <c r="BI426">
        <v>11</v>
      </c>
      <c r="BJ426" t="s">
        <v>206</v>
      </c>
      <c r="BK426" t="s">
        <v>1411</v>
      </c>
      <c r="BL426" t="s">
        <v>206</v>
      </c>
      <c r="BM426" t="s">
        <v>6860</v>
      </c>
      <c r="BN426" t="s">
        <v>74</v>
      </c>
      <c r="BO426" t="s">
        <v>6904</v>
      </c>
      <c r="BP426" t="s">
        <v>74</v>
      </c>
      <c r="BQ426" t="s">
        <v>74</v>
      </c>
      <c r="BR426" t="s">
        <v>101</v>
      </c>
      <c r="BS426" t="s">
        <v>6905</v>
      </c>
      <c r="BT426" t="str">
        <f>HYPERLINK("https%3A%2F%2Fwww.webofscience.com%2Fwos%2Fwoscc%2Ffull-record%2FWOS:000234678700004","View Full Record in Web of Science")</f>
        <v>View Full Record in Web of Science</v>
      </c>
    </row>
    <row r="427" spans="1:72" x14ac:dyDescent="0.15">
      <c r="A427" t="s">
        <v>72</v>
      </c>
      <c r="B427" t="s">
        <v>6906</v>
      </c>
      <c r="C427" t="s">
        <v>74</v>
      </c>
      <c r="D427" t="s">
        <v>74</v>
      </c>
      <c r="E427" t="s">
        <v>74</v>
      </c>
      <c r="F427" t="s">
        <v>6906</v>
      </c>
      <c r="G427" t="s">
        <v>74</v>
      </c>
      <c r="H427" t="s">
        <v>74</v>
      </c>
      <c r="I427" t="s">
        <v>6907</v>
      </c>
      <c r="J427" t="s">
        <v>6850</v>
      </c>
      <c r="K427" t="s">
        <v>74</v>
      </c>
      <c r="L427" t="s">
        <v>74</v>
      </c>
      <c r="M427" t="s">
        <v>77</v>
      </c>
      <c r="N427" t="s">
        <v>335</v>
      </c>
      <c r="O427" t="s">
        <v>6865</v>
      </c>
      <c r="P427">
        <v>2003</v>
      </c>
      <c r="Q427" t="s">
        <v>6866</v>
      </c>
      <c r="R427" t="s">
        <v>74</v>
      </c>
      <c r="S427" t="s">
        <v>74</v>
      </c>
      <c r="T427" t="s">
        <v>6908</v>
      </c>
      <c r="U427" t="s">
        <v>6909</v>
      </c>
      <c r="V427" t="s">
        <v>6910</v>
      </c>
      <c r="W427" t="s">
        <v>6911</v>
      </c>
      <c r="X427" t="s">
        <v>3999</v>
      </c>
      <c r="Y427" t="s">
        <v>6912</v>
      </c>
      <c r="Z427" t="s">
        <v>6913</v>
      </c>
      <c r="AA427" t="s">
        <v>74</v>
      </c>
      <c r="AB427" t="s">
        <v>6914</v>
      </c>
      <c r="AC427" t="s">
        <v>74</v>
      </c>
      <c r="AD427" t="s">
        <v>74</v>
      </c>
      <c r="AE427" t="s">
        <v>74</v>
      </c>
      <c r="AF427" t="s">
        <v>74</v>
      </c>
      <c r="AG427">
        <v>141</v>
      </c>
      <c r="AH427">
        <v>52</v>
      </c>
      <c r="AI427">
        <v>56</v>
      </c>
      <c r="AJ427">
        <v>1</v>
      </c>
      <c r="AK427">
        <v>36</v>
      </c>
      <c r="AL427" t="s">
        <v>6876</v>
      </c>
      <c r="AM427" t="s">
        <v>1342</v>
      </c>
      <c r="AN427" t="s">
        <v>6877</v>
      </c>
      <c r="AO427" t="s">
        <v>6856</v>
      </c>
      <c r="AP427" t="s">
        <v>6878</v>
      </c>
      <c r="AQ427" t="s">
        <v>74</v>
      </c>
      <c r="AR427" t="s">
        <v>6857</v>
      </c>
      <c r="AS427" t="s">
        <v>6858</v>
      </c>
      <c r="AT427" t="s">
        <v>5770</v>
      </c>
      <c r="AU427">
        <v>2005</v>
      </c>
      <c r="AV427">
        <v>69</v>
      </c>
      <c r="AW427" t="s">
        <v>74</v>
      </c>
      <c r="AX427" t="s">
        <v>74</v>
      </c>
      <c r="AY427">
        <v>2</v>
      </c>
      <c r="AZ427" t="s">
        <v>74</v>
      </c>
      <c r="BA427" t="s">
        <v>74</v>
      </c>
      <c r="BB427">
        <v>39</v>
      </c>
      <c r="BC427">
        <v>55</v>
      </c>
      <c r="BD427" t="s">
        <v>74</v>
      </c>
      <c r="BE427" t="s">
        <v>6915</v>
      </c>
      <c r="BF427" t="str">
        <f>HYPERLINK("http://dx.doi.org/10.3989/scimar.2005.69s239","http://dx.doi.org/10.3989/scimar.2005.69s239")</f>
        <v>http://dx.doi.org/10.3989/scimar.2005.69s239</v>
      </c>
      <c r="BG427" t="s">
        <v>74</v>
      </c>
      <c r="BH427" t="s">
        <v>74</v>
      </c>
      <c r="BI427">
        <v>17</v>
      </c>
      <c r="BJ427" t="s">
        <v>206</v>
      </c>
      <c r="BK427" t="s">
        <v>1411</v>
      </c>
      <c r="BL427" t="s">
        <v>206</v>
      </c>
      <c r="BM427" t="s">
        <v>6860</v>
      </c>
      <c r="BN427" t="s">
        <v>74</v>
      </c>
      <c r="BO427" t="s">
        <v>450</v>
      </c>
      <c r="BP427" t="s">
        <v>74</v>
      </c>
      <c r="BQ427" t="s">
        <v>74</v>
      </c>
      <c r="BR427" t="s">
        <v>101</v>
      </c>
      <c r="BS427" t="s">
        <v>6916</v>
      </c>
      <c r="BT427" t="str">
        <f>HYPERLINK("https%3A%2F%2Fwww.webofscience.com%2Fwos%2Fwoscc%2Ffull-record%2FWOS:000234678700005","View Full Record in Web of Science")</f>
        <v>View Full Record in Web of Science</v>
      </c>
    </row>
    <row r="428" spans="1:72" x14ac:dyDescent="0.15">
      <c r="A428" t="s">
        <v>72</v>
      </c>
      <c r="B428" t="s">
        <v>6917</v>
      </c>
      <c r="C428" t="s">
        <v>74</v>
      </c>
      <c r="D428" t="s">
        <v>74</v>
      </c>
      <c r="E428" t="s">
        <v>74</v>
      </c>
      <c r="F428" t="s">
        <v>6917</v>
      </c>
      <c r="G428" t="s">
        <v>74</v>
      </c>
      <c r="H428" t="s">
        <v>74</v>
      </c>
      <c r="I428" t="s">
        <v>6918</v>
      </c>
      <c r="J428" t="s">
        <v>6850</v>
      </c>
      <c r="K428" t="s">
        <v>74</v>
      </c>
      <c r="L428" t="s">
        <v>74</v>
      </c>
      <c r="M428" t="s">
        <v>77</v>
      </c>
      <c r="N428" t="s">
        <v>335</v>
      </c>
      <c r="O428" t="s">
        <v>6865</v>
      </c>
      <c r="P428">
        <v>2003</v>
      </c>
      <c r="Q428" t="s">
        <v>6866</v>
      </c>
      <c r="R428" t="s">
        <v>74</v>
      </c>
      <c r="S428" t="s">
        <v>74</v>
      </c>
      <c r="T428" t="s">
        <v>6919</v>
      </c>
      <c r="U428" t="s">
        <v>6920</v>
      </c>
      <c r="V428" t="s">
        <v>6921</v>
      </c>
      <c r="W428" t="s">
        <v>6922</v>
      </c>
      <c r="X428" t="s">
        <v>6923</v>
      </c>
      <c r="Y428" t="s">
        <v>6924</v>
      </c>
      <c r="Z428" t="s">
        <v>6925</v>
      </c>
      <c r="AA428" t="s">
        <v>6926</v>
      </c>
      <c r="AB428" t="s">
        <v>6927</v>
      </c>
      <c r="AC428" t="s">
        <v>74</v>
      </c>
      <c r="AD428" t="s">
        <v>74</v>
      </c>
      <c r="AE428" t="s">
        <v>74</v>
      </c>
      <c r="AF428" t="s">
        <v>74</v>
      </c>
      <c r="AG428">
        <v>15</v>
      </c>
      <c r="AH428">
        <v>18</v>
      </c>
      <c r="AI428">
        <v>18</v>
      </c>
      <c r="AJ428">
        <v>0</v>
      </c>
      <c r="AK428">
        <v>3</v>
      </c>
      <c r="AL428" t="s">
        <v>6876</v>
      </c>
      <c r="AM428" t="s">
        <v>1342</v>
      </c>
      <c r="AN428" t="s">
        <v>6877</v>
      </c>
      <c r="AO428" t="s">
        <v>6856</v>
      </c>
      <c r="AP428" t="s">
        <v>6878</v>
      </c>
      <c r="AQ428" t="s">
        <v>74</v>
      </c>
      <c r="AR428" t="s">
        <v>6857</v>
      </c>
      <c r="AS428" t="s">
        <v>6858</v>
      </c>
      <c r="AT428" t="s">
        <v>5770</v>
      </c>
      <c r="AU428">
        <v>2005</v>
      </c>
      <c r="AV428">
        <v>69</v>
      </c>
      <c r="AW428" t="s">
        <v>74</v>
      </c>
      <c r="AX428" t="s">
        <v>74</v>
      </c>
      <c r="AY428">
        <v>2</v>
      </c>
      <c r="AZ428" t="s">
        <v>74</v>
      </c>
      <c r="BA428" t="s">
        <v>74</v>
      </c>
      <c r="BB428">
        <v>57</v>
      </c>
      <c r="BC428">
        <v>63</v>
      </c>
      <c r="BD428" t="s">
        <v>74</v>
      </c>
      <c r="BE428" t="s">
        <v>6928</v>
      </c>
      <c r="BF428" t="str">
        <f>HYPERLINK("http://dx.doi.org/10.3989/scimar.2005.69s257","http://dx.doi.org/10.3989/scimar.2005.69s257")</f>
        <v>http://dx.doi.org/10.3989/scimar.2005.69s257</v>
      </c>
      <c r="BG428" t="s">
        <v>74</v>
      </c>
      <c r="BH428" t="s">
        <v>74</v>
      </c>
      <c r="BI428">
        <v>7</v>
      </c>
      <c r="BJ428" t="s">
        <v>206</v>
      </c>
      <c r="BK428" t="s">
        <v>1411</v>
      </c>
      <c r="BL428" t="s">
        <v>206</v>
      </c>
      <c r="BM428" t="s">
        <v>6860</v>
      </c>
      <c r="BN428" t="s">
        <v>74</v>
      </c>
      <c r="BO428" t="s">
        <v>450</v>
      </c>
      <c r="BP428" t="s">
        <v>74</v>
      </c>
      <c r="BQ428" t="s">
        <v>74</v>
      </c>
      <c r="BR428" t="s">
        <v>101</v>
      </c>
      <c r="BS428" t="s">
        <v>6929</v>
      </c>
      <c r="BT428" t="str">
        <f>HYPERLINK("https%3A%2F%2Fwww.webofscience.com%2Fwos%2Fwoscc%2Ffull-record%2FWOS:000234678700006","View Full Record in Web of Science")</f>
        <v>View Full Record in Web of Science</v>
      </c>
    </row>
    <row r="429" spans="1:72" x14ac:dyDescent="0.15">
      <c r="A429" t="s">
        <v>72</v>
      </c>
      <c r="B429" t="s">
        <v>2908</v>
      </c>
      <c r="C429" t="s">
        <v>74</v>
      </c>
      <c r="D429" t="s">
        <v>74</v>
      </c>
      <c r="E429" t="s">
        <v>74</v>
      </c>
      <c r="F429" t="s">
        <v>2908</v>
      </c>
      <c r="G429" t="s">
        <v>74</v>
      </c>
      <c r="H429" t="s">
        <v>74</v>
      </c>
      <c r="I429" t="s">
        <v>6930</v>
      </c>
      <c r="J429" t="s">
        <v>6850</v>
      </c>
      <c r="K429" t="s">
        <v>74</v>
      </c>
      <c r="L429" t="s">
        <v>74</v>
      </c>
      <c r="M429" t="s">
        <v>77</v>
      </c>
      <c r="N429" t="s">
        <v>335</v>
      </c>
      <c r="O429" t="s">
        <v>6865</v>
      </c>
      <c r="P429">
        <v>2003</v>
      </c>
      <c r="Q429" t="s">
        <v>6866</v>
      </c>
      <c r="R429" t="s">
        <v>74</v>
      </c>
      <c r="S429" t="s">
        <v>74</v>
      </c>
      <c r="T429" t="s">
        <v>6931</v>
      </c>
      <c r="U429" t="s">
        <v>6932</v>
      </c>
      <c r="V429" t="s">
        <v>6933</v>
      </c>
      <c r="W429" t="s">
        <v>801</v>
      </c>
      <c r="X429" t="s">
        <v>788</v>
      </c>
      <c r="Y429" t="s">
        <v>761</v>
      </c>
      <c r="Z429" t="s">
        <v>931</v>
      </c>
      <c r="AA429" t="s">
        <v>74</v>
      </c>
      <c r="AB429" t="s">
        <v>74</v>
      </c>
      <c r="AC429" t="s">
        <v>74</v>
      </c>
      <c r="AD429" t="s">
        <v>74</v>
      </c>
      <c r="AE429" t="s">
        <v>74</v>
      </c>
      <c r="AF429" t="s">
        <v>74</v>
      </c>
      <c r="AG429">
        <v>249</v>
      </c>
      <c r="AH429">
        <v>34</v>
      </c>
      <c r="AI429">
        <v>38</v>
      </c>
      <c r="AJ429">
        <v>0</v>
      </c>
      <c r="AK429">
        <v>16</v>
      </c>
      <c r="AL429" t="s">
        <v>6876</v>
      </c>
      <c r="AM429" t="s">
        <v>1342</v>
      </c>
      <c r="AN429" t="s">
        <v>6877</v>
      </c>
      <c r="AO429" t="s">
        <v>6856</v>
      </c>
      <c r="AP429" t="s">
        <v>6878</v>
      </c>
      <c r="AQ429" t="s">
        <v>74</v>
      </c>
      <c r="AR429" t="s">
        <v>6857</v>
      </c>
      <c r="AS429" t="s">
        <v>6858</v>
      </c>
      <c r="AT429" t="s">
        <v>5770</v>
      </c>
      <c r="AU429">
        <v>2005</v>
      </c>
      <c r="AV429">
        <v>69</v>
      </c>
      <c r="AW429" t="s">
        <v>74</v>
      </c>
      <c r="AX429" t="s">
        <v>74</v>
      </c>
      <c r="AY429">
        <v>2</v>
      </c>
      <c r="AZ429" t="s">
        <v>74</v>
      </c>
      <c r="BA429" t="s">
        <v>74</v>
      </c>
      <c r="BB429">
        <v>65</v>
      </c>
      <c r="BC429">
        <v>89</v>
      </c>
      <c r="BD429" t="s">
        <v>74</v>
      </c>
      <c r="BE429" t="s">
        <v>6934</v>
      </c>
      <c r="BF429" t="str">
        <f>HYPERLINK("http://dx.doi.org/10.3989/scimar.2005.69s265","http://dx.doi.org/10.3989/scimar.2005.69s265")</f>
        <v>http://dx.doi.org/10.3989/scimar.2005.69s265</v>
      </c>
      <c r="BG429" t="s">
        <v>74</v>
      </c>
      <c r="BH429" t="s">
        <v>74</v>
      </c>
      <c r="BI429">
        <v>25</v>
      </c>
      <c r="BJ429" t="s">
        <v>206</v>
      </c>
      <c r="BK429" t="s">
        <v>1411</v>
      </c>
      <c r="BL429" t="s">
        <v>206</v>
      </c>
      <c r="BM429" t="s">
        <v>6860</v>
      </c>
      <c r="BN429" t="s">
        <v>74</v>
      </c>
      <c r="BO429" t="s">
        <v>6935</v>
      </c>
      <c r="BP429" t="s">
        <v>74</v>
      </c>
      <c r="BQ429" t="s">
        <v>74</v>
      </c>
      <c r="BR429" t="s">
        <v>101</v>
      </c>
      <c r="BS429" t="s">
        <v>6936</v>
      </c>
      <c r="BT429" t="str">
        <f>HYPERLINK("https%3A%2F%2Fwww.webofscience.com%2Fwos%2Fwoscc%2Ffull-record%2FWOS:000234678700007","View Full Record in Web of Science")</f>
        <v>View Full Record in Web of Science</v>
      </c>
    </row>
    <row r="430" spans="1:72" x14ac:dyDescent="0.15">
      <c r="A430" t="s">
        <v>72</v>
      </c>
      <c r="B430" t="s">
        <v>6937</v>
      </c>
      <c r="C430" t="s">
        <v>74</v>
      </c>
      <c r="D430" t="s">
        <v>74</v>
      </c>
      <c r="E430" t="s">
        <v>74</v>
      </c>
      <c r="F430" t="s">
        <v>6937</v>
      </c>
      <c r="G430" t="s">
        <v>74</v>
      </c>
      <c r="H430" t="s">
        <v>74</v>
      </c>
      <c r="I430" t="s">
        <v>6938</v>
      </c>
      <c r="J430" t="s">
        <v>6850</v>
      </c>
      <c r="K430" t="s">
        <v>74</v>
      </c>
      <c r="L430" t="s">
        <v>74</v>
      </c>
      <c r="M430" t="s">
        <v>77</v>
      </c>
      <c r="N430" t="s">
        <v>335</v>
      </c>
      <c r="O430" t="s">
        <v>6865</v>
      </c>
      <c r="P430">
        <v>2003</v>
      </c>
      <c r="Q430" t="s">
        <v>6866</v>
      </c>
      <c r="R430" t="s">
        <v>74</v>
      </c>
      <c r="S430" t="s">
        <v>74</v>
      </c>
      <c r="T430" t="s">
        <v>6939</v>
      </c>
      <c r="U430" t="s">
        <v>6940</v>
      </c>
      <c r="V430" t="s">
        <v>6941</v>
      </c>
      <c r="W430" t="s">
        <v>6942</v>
      </c>
      <c r="X430" t="s">
        <v>6943</v>
      </c>
      <c r="Y430" t="s">
        <v>6944</v>
      </c>
      <c r="Z430" t="s">
        <v>6945</v>
      </c>
      <c r="AA430" t="s">
        <v>74</v>
      </c>
      <c r="AB430" t="s">
        <v>6946</v>
      </c>
      <c r="AC430" t="s">
        <v>74</v>
      </c>
      <c r="AD430" t="s">
        <v>74</v>
      </c>
      <c r="AE430" t="s">
        <v>74</v>
      </c>
      <c r="AF430" t="s">
        <v>74</v>
      </c>
      <c r="AG430">
        <v>71</v>
      </c>
      <c r="AH430">
        <v>42</v>
      </c>
      <c r="AI430">
        <v>47</v>
      </c>
      <c r="AJ430">
        <v>0</v>
      </c>
      <c r="AK430">
        <v>9</v>
      </c>
      <c r="AL430" t="s">
        <v>6876</v>
      </c>
      <c r="AM430" t="s">
        <v>1342</v>
      </c>
      <c r="AN430" t="s">
        <v>6877</v>
      </c>
      <c r="AO430" t="s">
        <v>6856</v>
      </c>
      <c r="AP430" t="s">
        <v>6878</v>
      </c>
      <c r="AQ430" t="s">
        <v>74</v>
      </c>
      <c r="AR430" t="s">
        <v>6857</v>
      </c>
      <c r="AS430" t="s">
        <v>6858</v>
      </c>
      <c r="AT430" t="s">
        <v>5770</v>
      </c>
      <c r="AU430">
        <v>2005</v>
      </c>
      <c r="AV430">
        <v>69</v>
      </c>
      <c r="AW430" t="s">
        <v>74</v>
      </c>
      <c r="AX430" t="s">
        <v>74</v>
      </c>
      <c r="AY430">
        <v>2</v>
      </c>
      <c r="AZ430" t="s">
        <v>74</v>
      </c>
      <c r="BA430" t="s">
        <v>74</v>
      </c>
      <c r="BB430">
        <v>91</v>
      </c>
      <c r="BC430">
        <v>102</v>
      </c>
      <c r="BD430" t="s">
        <v>74</v>
      </c>
      <c r="BE430" t="s">
        <v>74</v>
      </c>
      <c r="BF430" t="s">
        <v>74</v>
      </c>
      <c r="BG430" t="s">
        <v>74</v>
      </c>
      <c r="BH430" t="s">
        <v>74</v>
      </c>
      <c r="BI430">
        <v>12</v>
      </c>
      <c r="BJ430" t="s">
        <v>206</v>
      </c>
      <c r="BK430" t="s">
        <v>1411</v>
      </c>
      <c r="BL430" t="s">
        <v>206</v>
      </c>
      <c r="BM430" t="s">
        <v>6860</v>
      </c>
      <c r="BN430" t="s">
        <v>74</v>
      </c>
      <c r="BO430" t="s">
        <v>74</v>
      </c>
      <c r="BP430" t="s">
        <v>74</v>
      </c>
      <c r="BQ430" t="s">
        <v>74</v>
      </c>
      <c r="BR430" t="s">
        <v>101</v>
      </c>
      <c r="BS430" t="s">
        <v>6947</v>
      </c>
      <c r="BT430" t="str">
        <f>HYPERLINK("https%3A%2F%2Fwww.webofscience.com%2Fwos%2Fwoscc%2Ffull-record%2FWOS:000234678700008","View Full Record in Web of Science")</f>
        <v>View Full Record in Web of Science</v>
      </c>
    </row>
    <row r="431" spans="1:72" x14ac:dyDescent="0.15">
      <c r="A431" t="s">
        <v>72</v>
      </c>
      <c r="B431" t="s">
        <v>6948</v>
      </c>
      <c r="C431" t="s">
        <v>74</v>
      </c>
      <c r="D431" t="s">
        <v>74</v>
      </c>
      <c r="E431" t="s">
        <v>74</v>
      </c>
      <c r="F431" t="s">
        <v>6948</v>
      </c>
      <c r="G431" t="s">
        <v>74</v>
      </c>
      <c r="H431" t="s">
        <v>74</v>
      </c>
      <c r="I431" t="s">
        <v>6949</v>
      </c>
      <c r="J431" t="s">
        <v>6850</v>
      </c>
      <c r="K431" t="s">
        <v>74</v>
      </c>
      <c r="L431" t="s">
        <v>74</v>
      </c>
      <c r="M431" t="s">
        <v>77</v>
      </c>
      <c r="N431" t="s">
        <v>335</v>
      </c>
      <c r="O431" t="s">
        <v>6865</v>
      </c>
      <c r="P431">
        <v>2003</v>
      </c>
      <c r="Q431" t="s">
        <v>6866</v>
      </c>
      <c r="R431" t="s">
        <v>74</v>
      </c>
      <c r="S431" t="s">
        <v>74</v>
      </c>
      <c r="T431" t="s">
        <v>6950</v>
      </c>
      <c r="U431" t="s">
        <v>6951</v>
      </c>
      <c r="V431" t="s">
        <v>6952</v>
      </c>
      <c r="W431" t="s">
        <v>6953</v>
      </c>
      <c r="X431" t="s">
        <v>6954</v>
      </c>
      <c r="Y431" t="s">
        <v>6955</v>
      </c>
      <c r="Z431" t="s">
        <v>6956</v>
      </c>
      <c r="AA431" t="s">
        <v>74</v>
      </c>
      <c r="AB431" t="s">
        <v>74</v>
      </c>
      <c r="AC431" t="s">
        <v>74</v>
      </c>
      <c r="AD431" t="s">
        <v>74</v>
      </c>
      <c r="AE431" t="s">
        <v>74</v>
      </c>
      <c r="AF431" t="s">
        <v>74</v>
      </c>
      <c r="AG431">
        <v>18</v>
      </c>
      <c r="AH431">
        <v>23</v>
      </c>
      <c r="AI431">
        <v>25</v>
      </c>
      <c r="AJ431">
        <v>0</v>
      </c>
      <c r="AK431">
        <v>1</v>
      </c>
      <c r="AL431" t="s">
        <v>6876</v>
      </c>
      <c r="AM431" t="s">
        <v>1342</v>
      </c>
      <c r="AN431" t="s">
        <v>6877</v>
      </c>
      <c r="AO431" t="s">
        <v>6856</v>
      </c>
      <c r="AP431" t="s">
        <v>6878</v>
      </c>
      <c r="AQ431" t="s">
        <v>74</v>
      </c>
      <c r="AR431" t="s">
        <v>6857</v>
      </c>
      <c r="AS431" t="s">
        <v>6858</v>
      </c>
      <c r="AT431" t="s">
        <v>5770</v>
      </c>
      <c r="AU431">
        <v>2005</v>
      </c>
      <c r="AV431">
        <v>69</v>
      </c>
      <c r="AW431" t="s">
        <v>74</v>
      </c>
      <c r="AX431" t="s">
        <v>74</v>
      </c>
      <c r="AY431">
        <v>2</v>
      </c>
      <c r="AZ431" t="s">
        <v>74</v>
      </c>
      <c r="BA431" t="s">
        <v>74</v>
      </c>
      <c r="BB431">
        <v>103</v>
      </c>
      <c r="BC431">
        <v>112</v>
      </c>
      <c r="BD431" t="s">
        <v>74</v>
      </c>
      <c r="BE431" t="s">
        <v>6957</v>
      </c>
      <c r="BF431" t="str">
        <f>HYPERLINK("http://dx.doi.org/10.3989/scimar.2005.69s2103","http://dx.doi.org/10.3989/scimar.2005.69s2103")</f>
        <v>http://dx.doi.org/10.3989/scimar.2005.69s2103</v>
      </c>
      <c r="BG431" t="s">
        <v>74</v>
      </c>
      <c r="BH431" t="s">
        <v>74</v>
      </c>
      <c r="BI431">
        <v>10</v>
      </c>
      <c r="BJ431" t="s">
        <v>206</v>
      </c>
      <c r="BK431" t="s">
        <v>1411</v>
      </c>
      <c r="BL431" t="s">
        <v>206</v>
      </c>
      <c r="BM431" t="s">
        <v>6860</v>
      </c>
      <c r="BN431" t="s">
        <v>74</v>
      </c>
      <c r="BO431" t="s">
        <v>450</v>
      </c>
      <c r="BP431" t="s">
        <v>74</v>
      </c>
      <c r="BQ431" t="s">
        <v>74</v>
      </c>
      <c r="BR431" t="s">
        <v>101</v>
      </c>
      <c r="BS431" t="s">
        <v>6958</v>
      </c>
      <c r="BT431" t="str">
        <f>HYPERLINK("https%3A%2F%2Fwww.webofscience.com%2Fwos%2Fwoscc%2Ffull-record%2FWOS:000234678700009","View Full Record in Web of Science")</f>
        <v>View Full Record in Web of Science</v>
      </c>
    </row>
    <row r="432" spans="1:72" x14ac:dyDescent="0.15">
      <c r="A432" t="s">
        <v>72</v>
      </c>
      <c r="B432" t="s">
        <v>6959</v>
      </c>
      <c r="C432" t="s">
        <v>74</v>
      </c>
      <c r="D432" t="s">
        <v>74</v>
      </c>
      <c r="E432" t="s">
        <v>74</v>
      </c>
      <c r="F432" t="s">
        <v>6959</v>
      </c>
      <c r="G432" t="s">
        <v>74</v>
      </c>
      <c r="H432" t="s">
        <v>74</v>
      </c>
      <c r="I432" t="s">
        <v>6960</v>
      </c>
      <c r="J432" t="s">
        <v>6850</v>
      </c>
      <c r="K432" t="s">
        <v>74</v>
      </c>
      <c r="L432" t="s">
        <v>74</v>
      </c>
      <c r="M432" t="s">
        <v>77</v>
      </c>
      <c r="N432" t="s">
        <v>335</v>
      </c>
      <c r="O432" t="s">
        <v>6865</v>
      </c>
      <c r="P432">
        <v>2003</v>
      </c>
      <c r="Q432" t="s">
        <v>6866</v>
      </c>
      <c r="R432" t="s">
        <v>74</v>
      </c>
      <c r="S432" t="s">
        <v>74</v>
      </c>
      <c r="T432" t="s">
        <v>6961</v>
      </c>
      <c r="U432" t="s">
        <v>6962</v>
      </c>
      <c r="V432" t="s">
        <v>6963</v>
      </c>
      <c r="W432" t="s">
        <v>6964</v>
      </c>
      <c r="X432" t="s">
        <v>6965</v>
      </c>
      <c r="Y432" t="s">
        <v>6966</v>
      </c>
      <c r="Z432" t="s">
        <v>6967</v>
      </c>
      <c r="AA432" t="s">
        <v>74</v>
      </c>
      <c r="AB432" t="s">
        <v>74</v>
      </c>
      <c r="AC432" t="s">
        <v>74</v>
      </c>
      <c r="AD432" t="s">
        <v>74</v>
      </c>
      <c r="AE432" t="s">
        <v>74</v>
      </c>
      <c r="AF432" t="s">
        <v>74</v>
      </c>
      <c r="AG432">
        <v>53</v>
      </c>
      <c r="AH432">
        <v>34</v>
      </c>
      <c r="AI432">
        <v>35</v>
      </c>
      <c r="AJ432">
        <v>0</v>
      </c>
      <c r="AK432">
        <v>2</v>
      </c>
      <c r="AL432" t="s">
        <v>6853</v>
      </c>
      <c r="AM432" t="s">
        <v>6854</v>
      </c>
      <c r="AN432" t="s">
        <v>6855</v>
      </c>
      <c r="AO432" t="s">
        <v>6856</v>
      </c>
      <c r="AP432" t="s">
        <v>74</v>
      </c>
      <c r="AQ432" t="s">
        <v>74</v>
      </c>
      <c r="AR432" t="s">
        <v>6857</v>
      </c>
      <c r="AS432" t="s">
        <v>6858</v>
      </c>
      <c r="AT432" t="s">
        <v>5770</v>
      </c>
      <c r="AU432">
        <v>2005</v>
      </c>
      <c r="AV432">
        <v>69</v>
      </c>
      <c r="AW432" t="s">
        <v>74</v>
      </c>
      <c r="AX432" t="s">
        <v>74</v>
      </c>
      <c r="AY432">
        <v>2</v>
      </c>
      <c r="AZ432" t="s">
        <v>74</v>
      </c>
      <c r="BA432" t="s">
        <v>74</v>
      </c>
      <c r="BB432">
        <v>113</v>
      </c>
      <c r="BC432">
        <v>122</v>
      </c>
      <c r="BD432" t="s">
        <v>74</v>
      </c>
      <c r="BE432" t="s">
        <v>6968</v>
      </c>
      <c r="BF432" t="str">
        <f>HYPERLINK("http://dx.doi.org/10.3989/scimar.2005.69s2113","http://dx.doi.org/10.3989/scimar.2005.69s2113")</f>
        <v>http://dx.doi.org/10.3989/scimar.2005.69s2113</v>
      </c>
      <c r="BG432" t="s">
        <v>74</v>
      </c>
      <c r="BH432" t="s">
        <v>74</v>
      </c>
      <c r="BI432">
        <v>10</v>
      </c>
      <c r="BJ432" t="s">
        <v>206</v>
      </c>
      <c r="BK432" t="s">
        <v>356</v>
      </c>
      <c r="BL432" t="s">
        <v>206</v>
      </c>
      <c r="BM432" t="s">
        <v>6860</v>
      </c>
      <c r="BN432" t="s">
        <v>74</v>
      </c>
      <c r="BO432" t="s">
        <v>6969</v>
      </c>
      <c r="BP432" t="s">
        <v>74</v>
      </c>
      <c r="BQ432" t="s">
        <v>74</v>
      </c>
      <c r="BR432" t="s">
        <v>101</v>
      </c>
      <c r="BS432" t="s">
        <v>6970</v>
      </c>
      <c r="BT432" t="str">
        <f>HYPERLINK("https%3A%2F%2Fwww.webofscience.com%2Fwos%2Fwoscc%2Ffull-record%2FWOS:000234678700010","View Full Record in Web of Science")</f>
        <v>View Full Record in Web of Science</v>
      </c>
    </row>
    <row r="433" spans="1:72" x14ac:dyDescent="0.15">
      <c r="A433" t="s">
        <v>72</v>
      </c>
      <c r="B433" t="s">
        <v>6971</v>
      </c>
      <c r="C433" t="s">
        <v>74</v>
      </c>
      <c r="D433" t="s">
        <v>74</v>
      </c>
      <c r="E433" t="s">
        <v>74</v>
      </c>
      <c r="F433" t="s">
        <v>6971</v>
      </c>
      <c r="G433" t="s">
        <v>74</v>
      </c>
      <c r="H433" t="s">
        <v>74</v>
      </c>
      <c r="I433" t="s">
        <v>6972</v>
      </c>
      <c r="J433" t="s">
        <v>6850</v>
      </c>
      <c r="K433" t="s">
        <v>74</v>
      </c>
      <c r="L433" t="s">
        <v>74</v>
      </c>
      <c r="M433" t="s">
        <v>77</v>
      </c>
      <c r="N433" t="s">
        <v>335</v>
      </c>
      <c r="O433" t="s">
        <v>6865</v>
      </c>
      <c r="P433">
        <v>2003</v>
      </c>
      <c r="Q433" t="s">
        <v>6866</v>
      </c>
      <c r="R433" t="s">
        <v>74</v>
      </c>
      <c r="S433" t="s">
        <v>74</v>
      </c>
      <c r="T433" t="s">
        <v>6973</v>
      </c>
      <c r="U433" t="s">
        <v>6974</v>
      </c>
      <c r="V433" t="s">
        <v>6975</v>
      </c>
      <c r="W433" t="s">
        <v>6976</v>
      </c>
      <c r="X433" t="s">
        <v>426</v>
      </c>
      <c r="Y433" t="s">
        <v>6977</v>
      </c>
      <c r="Z433" t="s">
        <v>6978</v>
      </c>
      <c r="AA433" t="s">
        <v>74</v>
      </c>
      <c r="AB433" t="s">
        <v>6979</v>
      </c>
      <c r="AC433" t="s">
        <v>74</v>
      </c>
      <c r="AD433" t="s">
        <v>74</v>
      </c>
      <c r="AE433" t="s">
        <v>74</v>
      </c>
      <c r="AF433" t="s">
        <v>74</v>
      </c>
      <c r="AG433">
        <v>74</v>
      </c>
      <c r="AH433">
        <v>21</v>
      </c>
      <c r="AI433">
        <v>31</v>
      </c>
      <c r="AJ433">
        <v>0</v>
      </c>
      <c r="AK433">
        <v>4</v>
      </c>
      <c r="AL433" t="s">
        <v>6876</v>
      </c>
      <c r="AM433" t="s">
        <v>1342</v>
      </c>
      <c r="AN433" t="s">
        <v>6877</v>
      </c>
      <c r="AO433" t="s">
        <v>6856</v>
      </c>
      <c r="AP433" t="s">
        <v>6878</v>
      </c>
      <c r="AQ433" t="s">
        <v>74</v>
      </c>
      <c r="AR433" t="s">
        <v>6857</v>
      </c>
      <c r="AS433" t="s">
        <v>6858</v>
      </c>
      <c r="AT433" t="s">
        <v>5770</v>
      </c>
      <c r="AU433">
        <v>2005</v>
      </c>
      <c r="AV433">
        <v>69</v>
      </c>
      <c r="AW433" t="s">
        <v>74</v>
      </c>
      <c r="AX433" t="s">
        <v>74</v>
      </c>
      <c r="AY433">
        <v>2</v>
      </c>
      <c r="AZ433" t="s">
        <v>74</v>
      </c>
      <c r="BA433" t="s">
        <v>74</v>
      </c>
      <c r="BB433">
        <v>123</v>
      </c>
      <c r="BC433">
        <v>133</v>
      </c>
      <c r="BD433" t="s">
        <v>74</v>
      </c>
      <c r="BE433" t="s">
        <v>6980</v>
      </c>
      <c r="BF433" t="str">
        <f>HYPERLINK("http://dx.doi.org/10.3989/scimar.2005.69s2123","http://dx.doi.org/10.3989/scimar.2005.69s2123")</f>
        <v>http://dx.doi.org/10.3989/scimar.2005.69s2123</v>
      </c>
      <c r="BG433" t="s">
        <v>74</v>
      </c>
      <c r="BH433" t="s">
        <v>74</v>
      </c>
      <c r="BI433">
        <v>11</v>
      </c>
      <c r="BJ433" t="s">
        <v>206</v>
      </c>
      <c r="BK433" t="s">
        <v>1411</v>
      </c>
      <c r="BL433" t="s">
        <v>206</v>
      </c>
      <c r="BM433" t="s">
        <v>6860</v>
      </c>
      <c r="BN433" t="s">
        <v>74</v>
      </c>
      <c r="BO433" t="s">
        <v>436</v>
      </c>
      <c r="BP433" t="s">
        <v>74</v>
      </c>
      <c r="BQ433" t="s">
        <v>74</v>
      </c>
      <c r="BR433" t="s">
        <v>101</v>
      </c>
      <c r="BS433" t="s">
        <v>6981</v>
      </c>
      <c r="BT433" t="str">
        <f>HYPERLINK("https%3A%2F%2Fwww.webofscience.com%2Fwos%2Fwoscc%2Ffull-record%2FWOS:000234678700011","View Full Record in Web of Science")</f>
        <v>View Full Record in Web of Science</v>
      </c>
    </row>
    <row r="434" spans="1:72" x14ac:dyDescent="0.15">
      <c r="A434" t="s">
        <v>72</v>
      </c>
      <c r="B434" t="s">
        <v>6982</v>
      </c>
      <c r="C434" t="s">
        <v>74</v>
      </c>
      <c r="D434" t="s">
        <v>74</v>
      </c>
      <c r="E434" t="s">
        <v>74</v>
      </c>
      <c r="F434" t="s">
        <v>6982</v>
      </c>
      <c r="G434" t="s">
        <v>74</v>
      </c>
      <c r="H434" t="s">
        <v>74</v>
      </c>
      <c r="I434" t="s">
        <v>6983</v>
      </c>
      <c r="J434" t="s">
        <v>6850</v>
      </c>
      <c r="K434" t="s">
        <v>74</v>
      </c>
      <c r="L434" t="s">
        <v>74</v>
      </c>
      <c r="M434" t="s">
        <v>77</v>
      </c>
      <c r="N434" t="s">
        <v>335</v>
      </c>
      <c r="O434" t="s">
        <v>6865</v>
      </c>
      <c r="P434">
        <v>2003</v>
      </c>
      <c r="Q434" t="s">
        <v>6866</v>
      </c>
      <c r="R434" t="s">
        <v>74</v>
      </c>
      <c r="S434" t="s">
        <v>74</v>
      </c>
      <c r="T434" t="s">
        <v>6984</v>
      </c>
      <c r="U434" t="s">
        <v>6985</v>
      </c>
      <c r="V434" t="s">
        <v>6986</v>
      </c>
      <c r="W434" t="s">
        <v>6987</v>
      </c>
      <c r="X434" t="s">
        <v>6988</v>
      </c>
      <c r="Y434" t="s">
        <v>6989</v>
      </c>
      <c r="Z434" t="s">
        <v>6990</v>
      </c>
      <c r="AA434" t="s">
        <v>74</v>
      </c>
      <c r="AB434" t="s">
        <v>74</v>
      </c>
      <c r="AC434" t="s">
        <v>74</v>
      </c>
      <c r="AD434" t="s">
        <v>74</v>
      </c>
      <c r="AE434" t="s">
        <v>74</v>
      </c>
      <c r="AF434" t="s">
        <v>74</v>
      </c>
      <c r="AG434">
        <v>29</v>
      </c>
      <c r="AH434">
        <v>12</v>
      </c>
      <c r="AI434">
        <v>13</v>
      </c>
      <c r="AJ434">
        <v>0</v>
      </c>
      <c r="AK434">
        <v>4</v>
      </c>
      <c r="AL434" t="s">
        <v>6853</v>
      </c>
      <c r="AM434" t="s">
        <v>6854</v>
      </c>
      <c r="AN434" t="s">
        <v>6855</v>
      </c>
      <c r="AO434" t="s">
        <v>6856</v>
      </c>
      <c r="AP434" t="s">
        <v>74</v>
      </c>
      <c r="AQ434" t="s">
        <v>74</v>
      </c>
      <c r="AR434" t="s">
        <v>6857</v>
      </c>
      <c r="AS434" t="s">
        <v>6858</v>
      </c>
      <c r="AT434" t="s">
        <v>5770</v>
      </c>
      <c r="AU434">
        <v>2005</v>
      </c>
      <c r="AV434">
        <v>69</v>
      </c>
      <c r="AW434" t="s">
        <v>74</v>
      </c>
      <c r="AX434" t="s">
        <v>74</v>
      </c>
      <c r="AY434">
        <v>2</v>
      </c>
      <c r="AZ434" t="s">
        <v>74</v>
      </c>
      <c r="BA434" t="s">
        <v>74</v>
      </c>
      <c r="BB434">
        <v>135</v>
      </c>
      <c r="BC434">
        <v>145</v>
      </c>
      <c r="BD434" t="s">
        <v>74</v>
      </c>
      <c r="BE434" t="s">
        <v>6991</v>
      </c>
      <c r="BF434" t="str">
        <f>HYPERLINK("http://dx.doi.org/10.3989/scimar.2005.69s2135","http://dx.doi.org/10.3989/scimar.2005.69s2135")</f>
        <v>http://dx.doi.org/10.3989/scimar.2005.69s2135</v>
      </c>
      <c r="BG434" t="s">
        <v>74</v>
      </c>
      <c r="BH434" t="s">
        <v>74</v>
      </c>
      <c r="BI434">
        <v>11</v>
      </c>
      <c r="BJ434" t="s">
        <v>206</v>
      </c>
      <c r="BK434" t="s">
        <v>356</v>
      </c>
      <c r="BL434" t="s">
        <v>206</v>
      </c>
      <c r="BM434" t="s">
        <v>6860</v>
      </c>
      <c r="BN434" t="s">
        <v>74</v>
      </c>
      <c r="BO434" t="s">
        <v>450</v>
      </c>
      <c r="BP434" t="s">
        <v>74</v>
      </c>
      <c r="BQ434" t="s">
        <v>74</v>
      </c>
      <c r="BR434" t="s">
        <v>101</v>
      </c>
      <c r="BS434" t="s">
        <v>6992</v>
      </c>
      <c r="BT434" t="str">
        <f>HYPERLINK("https%3A%2F%2Fwww.webofscience.com%2Fwos%2Fwoscc%2Ffull-record%2FWOS:000234678700012","View Full Record in Web of Science")</f>
        <v>View Full Record in Web of Science</v>
      </c>
    </row>
    <row r="435" spans="1:72" x14ac:dyDescent="0.15">
      <c r="A435" t="s">
        <v>72</v>
      </c>
      <c r="B435" t="s">
        <v>6993</v>
      </c>
      <c r="C435" t="s">
        <v>74</v>
      </c>
      <c r="D435" t="s">
        <v>74</v>
      </c>
      <c r="E435" t="s">
        <v>74</v>
      </c>
      <c r="F435" t="s">
        <v>6993</v>
      </c>
      <c r="G435" t="s">
        <v>74</v>
      </c>
      <c r="H435" t="s">
        <v>74</v>
      </c>
      <c r="I435" t="s">
        <v>6994</v>
      </c>
      <c r="J435" t="s">
        <v>6850</v>
      </c>
      <c r="K435" t="s">
        <v>74</v>
      </c>
      <c r="L435" t="s">
        <v>74</v>
      </c>
      <c r="M435" t="s">
        <v>77</v>
      </c>
      <c r="N435" t="s">
        <v>335</v>
      </c>
      <c r="O435" t="s">
        <v>6865</v>
      </c>
      <c r="P435">
        <v>2003</v>
      </c>
      <c r="Q435" t="s">
        <v>6866</v>
      </c>
      <c r="R435" t="s">
        <v>74</v>
      </c>
      <c r="S435" t="s">
        <v>74</v>
      </c>
      <c r="T435" t="s">
        <v>6995</v>
      </c>
      <c r="U435" t="s">
        <v>6996</v>
      </c>
      <c r="V435" t="s">
        <v>6997</v>
      </c>
      <c r="W435" t="s">
        <v>6998</v>
      </c>
      <c r="X435" t="s">
        <v>6999</v>
      </c>
      <c r="Y435" t="s">
        <v>7000</v>
      </c>
      <c r="Z435" t="s">
        <v>7001</v>
      </c>
      <c r="AA435" t="s">
        <v>74</v>
      </c>
      <c r="AB435" t="s">
        <v>74</v>
      </c>
      <c r="AC435" t="s">
        <v>74</v>
      </c>
      <c r="AD435" t="s">
        <v>74</v>
      </c>
      <c r="AE435" t="s">
        <v>74</v>
      </c>
      <c r="AF435" t="s">
        <v>74</v>
      </c>
      <c r="AG435">
        <v>28</v>
      </c>
      <c r="AH435">
        <v>6</v>
      </c>
      <c r="AI435">
        <v>7</v>
      </c>
      <c r="AJ435">
        <v>0</v>
      </c>
      <c r="AK435">
        <v>2</v>
      </c>
      <c r="AL435" t="s">
        <v>6853</v>
      </c>
      <c r="AM435" t="s">
        <v>6854</v>
      </c>
      <c r="AN435" t="s">
        <v>6855</v>
      </c>
      <c r="AO435" t="s">
        <v>6856</v>
      </c>
      <c r="AP435" t="s">
        <v>74</v>
      </c>
      <c r="AQ435" t="s">
        <v>74</v>
      </c>
      <c r="AR435" t="s">
        <v>6857</v>
      </c>
      <c r="AS435" t="s">
        <v>6858</v>
      </c>
      <c r="AT435" t="s">
        <v>5770</v>
      </c>
      <c r="AU435">
        <v>2005</v>
      </c>
      <c r="AV435">
        <v>69</v>
      </c>
      <c r="AW435" t="s">
        <v>74</v>
      </c>
      <c r="AX435" t="s">
        <v>74</v>
      </c>
      <c r="AY435">
        <v>2</v>
      </c>
      <c r="AZ435" t="s">
        <v>74</v>
      </c>
      <c r="BA435" t="s">
        <v>74</v>
      </c>
      <c r="BB435">
        <v>159</v>
      </c>
      <c r="BC435">
        <v>166</v>
      </c>
      <c r="BD435" t="s">
        <v>74</v>
      </c>
      <c r="BE435" t="s">
        <v>74</v>
      </c>
      <c r="BF435" t="s">
        <v>74</v>
      </c>
      <c r="BG435" t="s">
        <v>74</v>
      </c>
      <c r="BH435" t="s">
        <v>74</v>
      </c>
      <c r="BI435">
        <v>8</v>
      </c>
      <c r="BJ435" t="s">
        <v>206</v>
      </c>
      <c r="BK435" t="s">
        <v>356</v>
      </c>
      <c r="BL435" t="s">
        <v>206</v>
      </c>
      <c r="BM435" t="s">
        <v>6860</v>
      </c>
      <c r="BN435" t="s">
        <v>74</v>
      </c>
      <c r="BO435" t="s">
        <v>74</v>
      </c>
      <c r="BP435" t="s">
        <v>74</v>
      </c>
      <c r="BQ435" t="s">
        <v>74</v>
      </c>
      <c r="BR435" t="s">
        <v>101</v>
      </c>
      <c r="BS435" t="s">
        <v>7002</v>
      </c>
      <c r="BT435" t="str">
        <f>HYPERLINK("https%3A%2F%2Fwww.webofscience.com%2Fwos%2Fwoscc%2Ffull-record%2FWOS:000234678700014","View Full Record in Web of Science")</f>
        <v>View Full Record in Web of Science</v>
      </c>
    </row>
    <row r="436" spans="1:72" x14ac:dyDescent="0.15">
      <c r="A436" t="s">
        <v>72</v>
      </c>
      <c r="B436" t="s">
        <v>7003</v>
      </c>
      <c r="C436" t="s">
        <v>74</v>
      </c>
      <c r="D436" t="s">
        <v>74</v>
      </c>
      <c r="E436" t="s">
        <v>74</v>
      </c>
      <c r="F436" t="s">
        <v>7003</v>
      </c>
      <c r="G436" t="s">
        <v>74</v>
      </c>
      <c r="H436" t="s">
        <v>74</v>
      </c>
      <c r="I436" t="s">
        <v>7004</v>
      </c>
      <c r="J436" t="s">
        <v>6850</v>
      </c>
      <c r="K436" t="s">
        <v>74</v>
      </c>
      <c r="L436" t="s">
        <v>74</v>
      </c>
      <c r="M436" t="s">
        <v>77</v>
      </c>
      <c r="N436" t="s">
        <v>335</v>
      </c>
      <c r="O436" t="s">
        <v>6865</v>
      </c>
      <c r="P436">
        <v>2003</v>
      </c>
      <c r="Q436" t="s">
        <v>6866</v>
      </c>
      <c r="R436" t="s">
        <v>74</v>
      </c>
      <c r="S436" t="s">
        <v>74</v>
      </c>
      <c r="T436" t="s">
        <v>7005</v>
      </c>
      <c r="U436" t="s">
        <v>7006</v>
      </c>
      <c r="V436" t="s">
        <v>7007</v>
      </c>
      <c r="W436" t="s">
        <v>7008</v>
      </c>
      <c r="X436" t="s">
        <v>7009</v>
      </c>
      <c r="Y436" t="s">
        <v>7010</v>
      </c>
      <c r="Z436" t="s">
        <v>7011</v>
      </c>
      <c r="AA436" t="s">
        <v>74</v>
      </c>
      <c r="AB436" t="s">
        <v>7012</v>
      </c>
      <c r="AC436" t="s">
        <v>74</v>
      </c>
      <c r="AD436" t="s">
        <v>74</v>
      </c>
      <c r="AE436" t="s">
        <v>74</v>
      </c>
      <c r="AF436" t="s">
        <v>74</v>
      </c>
      <c r="AG436">
        <v>33</v>
      </c>
      <c r="AH436">
        <v>120</v>
      </c>
      <c r="AI436">
        <v>134</v>
      </c>
      <c r="AJ436">
        <v>0</v>
      </c>
      <c r="AK436">
        <v>19</v>
      </c>
      <c r="AL436" t="s">
        <v>6853</v>
      </c>
      <c r="AM436" t="s">
        <v>6854</v>
      </c>
      <c r="AN436" t="s">
        <v>6855</v>
      </c>
      <c r="AO436" t="s">
        <v>6856</v>
      </c>
      <c r="AP436" t="s">
        <v>6878</v>
      </c>
      <c r="AQ436" t="s">
        <v>74</v>
      </c>
      <c r="AR436" t="s">
        <v>6857</v>
      </c>
      <c r="AS436" t="s">
        <v>6858</v>
      </c>
      <c r="AT436" t="s">
        <v>5770</v>
      </c>
      <c r="AU436">
        <v>2005</v>
      </c>
      <c r="AV436">
        <v>69</v>
      </c>
      <c r="AW436" t="s">
        <v>74</v>
      </c>
      <c r="AX436" t="s">
        <v>74</v>
      </c>
      <c r="AY436">
        <v>2</v>
      </c>
      <c r="AZ436" t="s">
        <v>74</v>
      </c>
      <c r="BA436" t="s">
        <v>74</v>
      </c>
      <c r="BB436">
        <v>175</v>
      </c>
      <c r="BC436">
        <v>181</v>
      </c>
      <c r="BD436" t="s">
        <v>74</v>
      </c>
      <c r="BE436" t="s">
        <v>7013</v>
      </c>
      <c r="BF436" t="str">
        <f>HYPERLINK("http://dx.doi.org/10.3989/scimar.2005.69s2175","http://dx.doi.org/10.3989/scimar.2005.69s2175")</f>
        <v>http://dx.doi.org/10.3989/scimar.2005.69s2175</v>
      </c>
      <c r="BG436" t="s">
        <v>74</v>
      </c>
      <c r="BH436" t="s">
        <v>74</v>
      </c>
      <c r="BI436">
        <v>7</v>
      </c>
      <c r="BJ436" t="s">
        <v>206</v>
      </c>
      <c r="BK436" t="s">
        <v>1411</v>
      </c>
      <c r="BL436" t="s">
        <v>206</v>
      </c>
      <c r="BM436" t="s">
        <v>6860</v>
      </c>
      <c r="BN436" t="s">
        <v>74</v>
      </c>
      <c r="BO436" t="s">
        <v>450</v>
      </c>
      <c r="BP436" t="s">
        <v>74</v>
      </c>
      <c r="BQ436" t="s">
        <v>74</v>
      </c>
      <c r="BR436" t="s">
        <v>101</v>
      </c>
      <c r="BS436" t="s">
        <v>7014</v>
      </c>
      <c r="BT436" t="str">
        <f>HYPERLINK("https%3A%2F%2Fwww.webofscience.com%2Fwos%2Fwoscc%2Ffull-record%2FWOS:000234678700016","View Full Record in Web of Science")</f>
        <v>View Full Record in Web of Science</v>
      </c>
    </row>
    <row r="437" spans="1:72" x14ac:dyDescent="0.15">
      <c r="A437" t="s">
        <v>72</v>
      </c>
      <c r="B437" t="s">
        <v>7015</v>
      </c>
      <c r="C437" t="s">
        <v>74</v>
      </c>
      <c r="D437" t="s">
        <v>74</v>
      </c>
      <c r="E437" t="s">
        <v>74</v>
      </c>
      <c r="F437" t="s">
        <v>7015</v>
      </c>
      <c r="G437" t="s">
        <v>74</v>
      </c>
      <c r="H437" t="s">
        <v>74</v>
      </c>
      <c r="I437" t="s">
        <v>7016</v>
      </c>
      <c r="J437" t="s">
        <v>6850</v>
      </c>
      <c r="K437" t="s">
        <v>74</v>
      </c>
      <c r="L437" t="s">
        <v>74</v>
      </c>
      <c r="M437" t="s">
        <v>77</v>
      </c>
      <c r="N437" t="s">
        <v>335</v>
      </c>
      <c r="O437" t="s">
        <v>6865</v>
      </c>
      <c r="P437">
        <v>2003</v>
      </c>
      <c r="Q437" t="s">
        <v>6866</v>
      </c>
      <c r="R437" t="s">
        <v>74</v>
      </c>
      <c r="S437" t="s">
        <v>74</v>
      </c>
      <c r="T437" t="s">
        <v>7017</v>
      </c>
      <c r="U437" t="s">
        <v>7018</v>
      </c>
      <c r="V437" t="s">
        <v>7019</v>
      </c>
      <c r="W437" t="s">
        <v>7020</v>
      </c>
      <c r="X437" t="s">
        <v>7021</v>
      </c>
      <c r="Y437" t="s">
        <v>7022</v>
      </c>
      <c r="Z437" t="s">
        <v>7023</v>
      </c>
      <c r="AA437" t="s">
        <v>74</v>
      </c>
      <c r="AB437" t="s">
        <v>7024</v>
      </c>
      <c r="AC437" t="s">
        <v>74</v>
      </c>
      <c r="AD437" t="s">
        <v>74</v>
      </c>
      <c r="AE437" t="s">
        <v>74</v>
      </c>
      <c r="AF437" t="s">
        <v>74</v>
      </c>
      <c r="AG437">
        <v>47</v>
      </c>
      <c r="AH437">
        <v>33</v>
      </c>
      <c r="AI437">
        <v>35</v>
      </c>
      <c r="AJ437">
        <v>0</v>
      </c>
      <c r="AK437">
        <v>7</v>
      </c>
      <c r="AL437" t="s">
        <v>6876</v>
      </c>
      <c r="AM437" t="s">
        <v>1342</v>
      </c>
      <c r="AN437" t="s">
        <v>7025</v>
      </c>
      <c r="AO437" t="s">
        <v>6856</v>
      </c>
      <c r="AP437" t="s">
        <v>6878</v>
      </c>
      <c r="AQ437" t="s">
        <v>74</v>
      </c>
      <c r="AR437" t="s">
        <v>6857</v>
      </c>
      <c r="AS437" t="s">
        <v>6858</v>
      </c>
      <c r="AT437" t="s">
        <v>5770</v>
      </c>
      <c r="AU437">
        <v>2005</v>
      </c>
      <c r="AV437">
        <v>69</v>
      </c>
      <c r="AW437" t="s">
        <v>74</v>
      </c>
      <c r="AX437" t="s">
        <v>74</v>
      </c>
      <c r="AY437">
        <v>2</v>
      </c>
      <c r="AZ437" t="s">
        <v>74</v>
      </c>
      <c r="BA437" t="s">
        <v>74</v>
      </c>
      <c r="BB437">
        <v>183</v>
      </c>
      <c r="BC437">
        <v>193</v>
      </c>
      <c r="BD437" t="s">
        <v>74</v>
      </c>
      <c r="BE437" t="s">
        <v>7026</v>
      </c>
      <c r="BF437" t="str">
        <f>HYPERLINK("http://dx.doi.org/10.3989/scimar.2005.69s2183","http://dx.doi.org/10.3989/scimar.2005.69s2183")</f>
        <v>http://dx.doi.org/10.3989/scimar.2005.69s2183</v>
      </c>
      <c r="BG437" t="s">
        <v>74</v>
      </c>
      <c r="BH437" t="s">
        <v>74</v>
      </c>
      <c r="BI437">
        <v>11</v>
      </c>
      <c r="BJ437" t="s">
        <v>206</v>
      </c>
      <c r="BK437" t="s">
        <v>1411</v>
      </c>
      <c r="BL437" t="s">
        <v>206</v>
      </c>
      <c r="BM437" t="s">
        <v>6860</v>
      </c>
      <c r="BN437" t="s">
        <v>74</v>
      </c>
      <c r="BO437" t="s">
        <v>7027</v>
      </c>
      <c r="BP437" t="s">
        <v>74</v>
      </c>
      <c r="BQ437" t="s">
        <v>74</v>
      </c>
      <c r="BR437" t="s">
        <v>101</v>
      </c>
      <c r="BS437" t="s">
        <v>7028</v>
      </c>
      <c r="BT437" t="str">
        <f>HYPERLINK("https%3A%2F%2Fwww.webofscience.com%2Fwos%2Fwoscc%2Ffull-record%2FWOS:000234678700017","View Full Record in Web of Science")</f>
        <v>View Full Record in Web of Science</v>
      </c>
    </row>
    <row r="438" spans="1:72" x14ac:dyDescent="0.15">
      <c r="A438" t="s">
        <v>72</v>
      </c>
      <c r="B438" t="s">
        <v>7029</v>
      </c>
      <c r="C438" t="s">
        <v>74</v>
      </c>
      <c r="D438" t="s">
        <v>74</v>
      </c>
      <c r="E438" t="s">
        <v>74</v>
      </c>
      <c r="F438" t="s">
        <v>7029</v>
      </c>
      <c r="G438" t="s">
        <v>74</v>
      </c>
      <c r="H438" t="s">
        <v>74</v>
      </c>
      <c r="I438" t="s">
        <v>7030</v>
      </c>
      <c r="J438" t="s">
        <v>6850</v>
      </c>
      <c r="K438" t="s">
        <v>74</v>
      </c>
      <c r="L438" t="s">
        <v>74</v>
      </c>
      <c r="M438" t="s">
        <v>77</v>
      </c>
      <c r="N438" t="s">
        <v>335</v>
      </c>
      <c r="O438" t="s">
        <v>6865</v>
      </c>
      <c r="P438">
        <v>2003</v>
      </c>
      <c r="Q438" t="s">
        <v>6866</v>
      </c>
      <c r="R438" t="s">
        <v>74</v>
      </c>
      <c r="S438" t="s">
        <v>74</v>
      </c>
      <c r="T438" t="s">
        <v>7031</v>
      </c>
      <c r="U438" t="s">
        <v>7032</v>
      </c>
      <c r="V438" t="s">
        <v>7033</v>
      </c>
      <c r="W438" t="s">
        <v>7034</v>
      </c>
      <c r="X438" t="s">
        <v>7035</v>
      </c>
      <c r="Y438" t="s">
        <v>7036</v>
      </c>
      <c r="Z438" t="s">
        <v>7037</v>
      </c>
      <c r="AA438" t="s">
        <v>74</v>
      </c>
      <c r="AB438" t="s">
        <v>74</v>
      </c>
      <c r="AC438" t="s">
        <v>74</v>
      </c>
      <c r="AD438" t="s">
        <v>74</v>
      </c>
      <c r="AE438" t="s">
        <v>74</v>
      </c>
      <c r="AF438" t="s">
        <v>74</v>
      </c>
      <c r="AG438">
        <v>25</v>
      </c>
      <c r="AH438">
        <v>32</v>
      </c>
      <c r="AI438">
        <v>35</v>
      </c>
      <c r="AJ438">
        <v>0</v>
      </c>
      <c r="AK438">
        <v>1</v>
      </c>
      <c r="AL438" t="s">
        <v>6853</v>
      </c>
      <c r="AM438" t="s">
        <v>6854</v>
      </c>
      <c r="AN438" t="s">
        <v>6855</v>
      </c>
      <c r="AO438" t="s">
        <v>6856</v>
      </c>
      <c r="AP438" t="s">
        <v>74</v>
      </c>
      <c r="AQ438" t="s">
        <v>74</v>
      </c>
      <c r="AR438" t="s">
        <v>6857</v>
      </c>
      <c r="AS438" t="s">
        <v>6858</v>
      </c>
      <c r="AT438" t="s">
        <v>5770</v>
      </c>
      <c r="AU438">
        <v>2005</v>
      </c>
      <c r="AV438">
        <v>69</v>
      </c>
      <c r="AW438" t="s">
        <v>74</v>
      </c>
      <c r="AX438" t="s">
        <v>74</v>
      </c>
      <c r="AY438">
        <v>2</v>
      </c>
      <c r="AZ438" t="s">
        <v>74</v>
      </c>
      <c r="BA438" t="s">
        <v>74</v>
      </c>
      <c r="BB438">
        <v>195</v>
      </c>
      <c r="BC438">
        <v>200</v>
      </c>
      <c r="BD438" t="s">
        <v>74</v>
      </c>
      <c r="BE438" t="s">
        <v>7038</v>
      </c>
      <c r="BF438" t="str">
        <f>HYPERLINK("http://dx.doi.org/10.3989/scimar.2005.69s2195","http://dx.doi.org/10.3989/scimar.2005.69s2195")</f>
        <v>http://dx.doi.org/10.3989/scimar.2005.69s2195</v>
      </c>
      <c r="BG438" t="s">
        <v>74</v>
      </c>
      <c r="BH438" t="s">
        <v>74</v>
      </c>
      <c r="BI438">
        <v>6</v>
      </c>
      <c r="BJ438" t="s">
        <v>206</v>
      </c>
      <c r="BK438" t="s">
        <v>356</v>
      </c>
      <c r="BL438" t="s">
        <v>206</v>
      </c>
      <c r="BM438" t="s">
        <v>6860</v>
      </c>
      <c r="BN438" t="s">
        <v>74</v>
      </c>
      <c r="BO438" t="s">
        <v>450</v>
      </c>
      <c r="BP438" t="s">
        <v>74</v>
      </c>
      <c r="BQ438" t="s">
        <v>74</v>
      </c>
      <c r="BR438" t="s">
        <v>101</v>
      </c>
      <c r="BS438" t="s">
        <v>7039</v>
      </c>
      <c r="BT438" t="str">
        <f>HYPERLINK("https%3A%2F%2Fwww.webofscience.com%2Fwos%2Fwoscc%2Ffull-record%2FWOS:000234678700018","View Full Record in Web of Science")</f>
        <v>View Full Record in Web of Science</v>
      </c>
    </row>
    <row r="439" spans="1:72" x14ac:dyDescent="0.15">
      <c r="A439" t="s">
        <v>72</v>
      </c>
      <c r="B439" t="s">
        <v>7040</v>
      </c>
      <c r="C439" t="s">
        <v>74</v>
      </c>
      <c r="D439" t="s">
        <v>74</v>
      </c>
      <c r="E439" t="s">
        <v>74</v>
      </c>
      <c r="F439" t="s">
        <v>7040</v>
      </c>
      <c r="G439" t="s">
        <v>74</v>
      </c>
      <c r="H439" t="s">
        <v>74</v>
      </c>
      <c r="I439" t="s">
        <v>7041</v>
      </c>
      <c r="J439" t="s">
        <v>6850</v>
      </c>
      <c r="K439" t="s">
        <v>74</v>
      </c>
      <c r="L439" t="s">
        <v>74</v>
      </c>
      <c r="M439" t="s">
        <v>77</v>
      </c>
      <c r="N439" t="s">
        <v>335</v>
      </c>
      <c r="O439" t="s">
        <v>6865</v>
      </c>
      <c r="P439">
        <v>2003</v>
      </c>
      <c r="Q439" t="s">
        <v>6866</v>
      </c>
      <c r="R439" t="s">
        <v>74</v>
      </c>
      <c r="S439" t="s">
        <v>74</v>
      </c>
      <c r="T439" t="s">
        <v>7042</v>
      </c>
      <c r="U439" t="s">
        <v>7043</v>
      </c>
      <c r="V439" t="s">
        <v>7044</v>
      </c>
      <c r="W439" t="s">
        <v>7045</v>
      </c>
      <c r="X439" t="s">
        <v>7046</v>
      </c>
      <c r="Y439" t="s">
        <v>7047</v>
      </c>
      <c r="Z439" t="s">
        <v>7048</v>
      </c>
      <c r="AA439" t="s">
        <v>74</v>
      </c>
      <c r="AB439" t="s">
        <v>7049</v>
      </c>
      <c r="AC439" t="s">
        <v>74</v>
      </c>
      <c r="AD439" t="s">
        <v>74</v>
      </c>
      <c r="AE439" t="s">
        <v>74</v>
      </c>
      <c r="AF439" t="s">
        <v>74</v>
      </c>
      <c r="AG439">
        <v>8</v>
      </c>
      <c r="AH439">
        <v>25</v>
      </c>
      <c r="AI439">
        <v>26</v>
      </c>
      <c r="AJ439">
        <v>0</v>
      </c>
      <c r="AK439">
        <v>6</v>
      </c>
      <c r="AL439" t="s">
        <v>6853</v>
      </c>
      <c r="AM439" t="s">
        <v>6854</v>
      </c>
      <c r="AN439" t="s">
        <v>6855</v>
      </c>
      <c r="AO439" t="s">
        <v>6856</v>
      </c>
      <c r="AP439" t="s">
        <v>74</v>
      </c>
      <c r="AQ439" t="s">
        <v>74</v>
      </c>
      <c r="AR439" t="s">
        <v>6857</v>
      </c>
      <c r="AS439" t="s">
        <v>6858</v>
      </c>
      <c r="AT439" t="s">
        <v>5770</v>
      </c>
      <c r="AU439">
        <v>2005</v>
      </c>
      <c r="AV439">
        <v>69</v>
      </c>
      <c r="AW439" t="s">
        <v>74</v>
      </c>
      <c r="AX439" t="s">
        <v>74</v>
      </c>
      <c r="AY439">
        <v>2</v>
      </c>
      <c r="AZ439" t="s">
        <v>74</v>
      </c>
      <c r="BA439" t="s">
        <v>74</v>
      </c>
      <c r="BB439">
        <v>201</v>
      </c>
      <c r="BC439">
        <v>203</v>
      </c>
      <c r="BD439" t="s">
        <v>74</v>
      </c>
      <c r="BE439" t="s">
        <v>7050</v>
      </c>
      <c r="BF439" t="str">
        <f>HYPERLINK("http://dx.doi.org/10.3989/scimar.2005.69s2201","http://dx.doi.org/10.3989/scimar.2005.69s2201")</f>
        <v>http://dx.doi.org/10.3989/scimar.2005.69s2201</v>
      </c>
      <c r="BG439" t="s">
        <v>74</v>
      </c>
      <c r="BH439" t="s">
        <v>74</v>
      </c>
      <c r="BI439">
        <v>3</v>
      </c>
      <c r="BJ439" t="s">
        <v>206</v>
      </c>
      <c r="BK439" t="s">
        <v>356</v>
      </c>
      <c r="BL439" t="s">
        <v>206</v>
      </c>
      <c r="BM439" t="s">
        <v>6860</v>
      </c>
      <c r="BN439" t="s">
        <v>74</v>
      </c>
      <c r="BO439" t="s">
        <v>7051</v>
      </c>
      <c r="BP439" t="s">
        <v>74</v>
      </c>
      <c r="BQ439" t="s">
        <v>74</v>
      </c>
      <c r="BR439" t="s">
        <v>101</v>
      </c>
      <c r="BS439" t="s">
        <v>7052</v>
      </c>
      <c r="BT439" t="str">
        <f>HYPERLINK("https%3A%2F%2Fwww.webofscience.com%2Fwos%2Fwoscc%2Ffull-record%2FWOS:000234678700019","View Full Record in Web of Science")</f>
        <v>View Full Record in Web of Science</v>
      </c>
    </row>
    <row r="440" spans="1:72" x14ac:dyDescent="0.15">
      <c r="A440" t="s">
        <v>72</v>
      </c>
      <c r="B440" t="s">
        <v>7053</v>
      </c>
      <c r="C440" t="s">
        <v>74</v>
      </c>
      <c r="D440" t="s">
        <v>74</v>
      </c>
      <c r="E440" t="s">
        <v>74</v>
      </c>
      <c r="F440" t="s">
        <v>7053</v>
      </c>
      <c r="G440" t="s">
        <v>74</v>
      </c>
      <c r="H440" t="s">
        <v>74</v>
      </c>
      <c r="I440" t="s">
        <v>7054</v>
      </c>
      <c r="J440" t="s">
        <v>6850</v>
      </c>
      <c r="K440" t="s">
        <v>74</v>
      </c>
      <c r="L440" t="s">
        <v>74</v>
      </c>
      <c r="M440" t="s">
        <v>77</v>
      </c>
      <c r="N440" t="s">
        <v>335</v>
      </c>
      <c r="O440" t="s">
        <v>6865</v>
      </c>
      <c r="P440">
        <v>2003</v>
      </c>
      <c r="Q440" t="s">
        <v>6866</v>
      </c>
      <c r="R440" t="s">
        <v>74</v>
      </c>
      <c r="S440" t="s">
        <v>74</v>
      </c>
      <c r="T440" t="s">
        <v>7055</v>
      </c>
      <c r="U440" t="s">
        <v>7056</v>
      </c>
      <c r="V440" t="s">
        <v>7057</v>
      </c>
      <c r="W440" t="s">
        <v>7058</v>
      </c>
      <c r="X440" t="s">
        <v>7059</v>
      </c>
      <c r="Y440" t="s">
        <v>7060</v>
      </c>
      <c r="Z440" t="s">
        <v>7061</v>
      </c>
      <c r="AA440" t="s">
        <v>74</v>
      </c>
      <c r="AB440" t="s">
        <v>7062</v>
      </c>
      <c r="AC440" t="s">
        <v>74</v>
      </c>
      <c r="AD440" t="s">
        <v>74</v>
      </c>
      <c r="AE440" t="s">
        <v>74</v>
      </c>
      <c r="AF440" t="s">
        <v>74</v>
      </c>
      <c r="AG440">
        <v>42</v>
      </c>
      <c r="AH440">
        <v>35</v>
      </c>
      <c r="AI440">
        <v>39</v>
      </c>
      <c r="AJ440">
        <v>0</v>
      </c>
      <c r="AK440">
        <v>2</v>
      </c>
      <c r="AL440" t="s">
        <v>6853</v>
      </c>
      <c r="AM440" t="s">
        <v>6854</v>
      </c>
      <c r="AN440" t="s">
        <v>6855</v>
      </c>
      <c r="AO440" t="s">
        <v>6856</v>
      </c>
      <c r="AP440" t="s">
        <v>74</v>
      </c>
      <c r="AQ440" t="s">
        <v>74</v>
      </c>
      <c r="AR440" t="s">
        <v>6857</v>
      </c>
      <c r="AS440" t="s">
        <v>6858</v>
      </c>
      <c r="AT440" t="s">
        <v>5770</v>
      </c>
      <c r="AU440">
        <v>2005</v>
      </c>
      <c r="AV440">
        <v>69</v>
      </c>
      <c r="AW440" t="s">
        <v>74</v>
      </c>
      <c r="AX440" t="s">
        <v>74</v>
      </c>
      <c r="AY440">
        <v>2</v>
      </c>
      <c r="AZ440" t="s">
        <v>74</v>
      </c>
      <c r="BA440" t="s">
        <v>74</v>
      </c>
      <c r="BB440">
        <v>205</v>
      </c>
      <c r="BC440">
        <v>214</v>
      </c>
      <c r="BD440" t="s">
        <v>74</v>
      </c>
      <c r="BE440" t="s">
        <v>7063</v>
      </c>
      <c r="BF440" t="str">
        <f>HYPERLINK("http://dx.doi.org/10.3989/scimar.2005.69s2205","http://dx.doi.org/10.3989/scimar.2005.69s2205")</f>
        <v>http://dx.doi.org/10.3989/scimar.2005.69s2205</v>
      </c>
      <c r="BG440" t="s">
        <v>74</v>
      </c>
      <c r="BH440" t="s">
        <v>74</v>
      </c>
      <c r="BI440">
        <v>10</v>
      </c>
      <c r="BJ440" t="s">
        <v>206</v>
      </c>
      <c r="BK440" t="s">
        <v>356</v>
      </c>
      <c r="BL440" t="s">
        <v>206</v>
      </c>
      <c r="BM440" t="s">
        <v>6860</v>
      </c>
      <c r="BN440" t="s">
        <v>74</v>
      </c>
      <c r="BO440" t="s">
        <v>436</v>
      </c>
      <c r="BP440" t="s">
        <v>74</v>
      </c>
      <c r="BQ440" t="s">
        <v>74</v>
      </c>
      <c r="BR440" t="s">
        <v>101</v>
      </c>
      <c r="BS440" t="s">
        <v>7064</v>
      </c>
      <c r="BT440" t="str">
        <f>HYPERLINK("https%3A%2F%2Fwww.webofscience.com%2Fwos%2Fwoscc%2Ffull-record%2FWOS:000234678700020","View Full Record in Web of Science")</f>
        <v>View Full Record in Web of Science</v>
      </c>
    </row>
    <row r="441" spans="1:72" x14ac:dyDescent="0.15">
      <c r="A441" t="s">
        <v>72</v>
      </c>
      <c r="B441" t="s">
        <v>7065</v>
      </c>
      <c r="C441" t="s">
        <v>74</v>
      </c>
      <c r="D441" t="s">
        <v>74</v>
      </c>
      <c r="E441" t="s">
        <v>74</v>
      </c>
      <c r="F441" t="s">
        <v>7065</v>
      </c>
      <c r="G441" t="s">
        <v>74</v>
      </c>
      <c r="H441" t="s">
        <v>74</v>
      </c>
      <c r="I441" t="s">
        <v>7066</v>
      </c>
      <c r="J441" t="s">
        <v>6850</v>
      </c>
      <c r="K441" t="s">
        <v>74</v>
      </c>
      <c r="L441" t="s">
        <v>74</v>
      </c>
      <c r="M441" t="s">
        <v>77</v>
      </c>
      <c r="N441" t="s">
        <v>335</v>
      </c>
      <c r="O441" t="s">
        <v>6865</v>
      </c>
      <c r="P441">
        <v>2003</v>
      </c>
      <c r="Q441" t="s">
        <v>6866</v>
      </c>
      <c r="R441" t="s">
        <v>74</v>
      </c>
      <c r="S441" t="s">
        <v>74</v>
      </c>
      <c r="T441" t="s">
        <v>7067</v>
      </c>
      <c r="U441" t="s">
        <v>7068</v>
      </c>
      <c r="V441" t="s">
        <v>7069</v>
      </c>
      <c r="W441" t="s">
        <v>7070</v>
      </c>
      <c r="X441" t="s">
        <v>7071</v>
      </c>
      <c r="Y441" t="s">
        <v>7072</v>
      </c>
      <c r="Z441" t="s">
        <v>7073</v>
      </c>
      <c r="AA441" t="s">
        <v>7074</v>
      </c>
      <c r="AB441" t="s">
        <v>7075</v>
      </c>
      <c r="AC441" t="s">
        <v>74</v>
      </c>
      <c r="AD441" t="s">
        <v>74</v>
      </c>
      <c r="AE441" t="s">
        <v>74</v>
      </c>
      <c r="AF441" t="s">
        <v>74</v>
      </c>
      <c r="AG441">
        <v>34</v>
      </c>
      <c r="AH441">
        <v>33</v>
      </c>
      <c r="AI441">
        <v>36</v>
      </c>
      <c r="AJ441">
        <v>0</v>
      </c>
      <c r="AK441">
        <v>7</v>
      </c>
      <c r="AL441" t="s">
        <v>6876</v>
      </c>
      <c r="AM441" t="s">
        <v>1342</v>
      </c>
      <c r="AN441" t="s">
        <v>6877</v>
      </c>
      <c r="AO441" t="s">
        <v>6856</v>
      </c>
      <c r="AP441" t="s">
        <v>6878</v>
      </c>
      <c r="AQ441" t="s">
        <v>74</v>
      </c>
      <c r="AR441" t="s">
        <v>6857</v>
      </c>
      <c r="AS441" t="s">
        <v>6858</v>
      </c>
      <c r="AT441" t="s">
        <v>5770</v>
      </c>
      <c r="AU441">
        <v>2005</v>
      </c>
      <c r="AV441">
        <v>69</v>
      </c>
      <c r="AW441" t="s">
        <v>74</v>
      </c>
      <c r="AX441" t="s">
        <v>74</v>
      </c>
      <c r="AY441">
        <v>2</v>
      </c>
      <c r="AZ441" t="s">
        <v>74</v>
      </c>
      <c r="BA441" t="s">
        <v>74</v>
      </c>
      <c r="BB441">
        <v>215</v>
      </c>
      <c r="BC441">
        <v>223</v>
      </c>
      <c r="BD441" t="s">
        <v>74</v>
      </c>
      <c r="BE441" t="s">
        <v>7076</v>
      </c>
      <c r="BF441" t="str">
        <f>HYPERLINK("http://dx.doi.org/10.3989/scimar.2005.69s2215","http://dx.doi.org/10.3989/scimar.2005.69s2215")</f>
        <v>http://dx.doi.org/10.3989/scimar.2005.69s2215</v>
      </c>
      <c r="BG441" t="s">
        <v>74</v>
      </c>
      <c r="BH441" t="s">
        <v>74</v>
      </c>
      <c r="BI441">
        <v>9</v>
      </c>
      <c r="BJ441" t="s">
        <v>206</v>
      </c>
      <c r="BK441" t="s">
        <v>1411</v>
      </c>
      <c r="BL441" t="s">
        <v>206</v>
      </c>
      <c r="BM441" t="s">
        <v>6860</v>
      </c>
      <c r="BN441" t="s">
        <v>74</v>
      </c>
      <c r="BO441" t="s">
        <v>436</v>
      </c>
      <c r="BP441" t="s">
        <v>74</v>
      </c>
      <c r="BQ441" t="s">
        <v>74</v>
      </c>
      <c r="BR441" t="s">
        <v>101</v>
      </c>
      <c r="BS441" t="s">
        <v>7077</v>
      </c>
      <c r="BT441" t="str">
        <f>HYPERLINK("https%3A%2F%2Fwww.webofscience.com%2Fwos%2Fwoscc%2Ffull-record%2FWOS:000234678700021","View Full Record in Web of Science")</f>
        <v>View Full Record in Web of Science</v>
      </c>
    </row>
    <row r="442" spans="1:72" x14ac:dyDescent="0.15">
      <c r="A442" t="s">
        <v>72</v>
      </c>
      <c r="B442" t="s">
        <v>7078</v>
      </c>
      <c r="C442" t="s">
        <v>74</v>
      </c>
      <c r="D442" t="s">
        <v>74</v>
      </c>
      <c r="E442" t="s">
        <v>74</v>
      </c>
      <c r="F442" t="s">
        <v>7078</v>
      </c>
      <c r="G442" t="s">
        <v>74</v>
      </c>
      <c r="H442" t="s">
        <v>74</v>
      </c>
      <c r="I442" t="s">
        <v>7079</v>
      </c>
      <c r="J442" t="s">
        <v>6850</v>
      </c>
      <c r="K442" t="s">
        <v>74</v>
      </c>
      <c r="L442" t="s">
        <v>74</v>
      </c>
      <c r="M442" t="s">
        <v>77</v>
      </c>
      <c r="N442" t="s">
        <v>335</v>
      </c>
      <c r="O442" t="s">
        <v>6865</v>
      </c>
      <c r="P442">
        <v>2003</v>
      </c>
      <c r="Q442" t="s">
        <v>6866</v>
      </c>
      <c r="R442" t="s">
        <v>74</v>
      </c>
      <c r="S442" t="s">
        <v>74</v>
      </c>
      <c r="T442" t="s">
        <v>7080</v>
      </c>
      <c r="U442" t="s">
        <v>7081</v>
      </c>
      <c r="V442" t="s">
        <v>7082</v>
      </c>
      <c r="W442" t="s">
        <v>7083</v>
      </c>
      <c r="X442" t="s">
        <v>7084</v>
      </c>
      <c r="Y442" t="s">
        <v>7085</v>
      </c>
      <c r="Z442" t="s">
        <v>7086</v>
      </c>
      <c r="AA442" t="s">
        <v>7087</v>
      </c>
      <c r="AB442" t="s">
        <v>7088</v>
      </c>
      <c r="AC442" t="s">
        <v>74</v>
      </c>
      <c r="AD442" t="s">
        <v>74</v>
      </c>
      <c r="AE442" t="s">
        <v>74</v>
      </c>
      <c r="AF442" t="s">
        <v>74</v>
      </c>
      <c r="AG442">
        <v>281</v>
      </c>
      <c r="AH442">
        <v>68</v>
      </c>
      <c r="AI442">
        <v>78</v>
      </c>
      <c r="AJ442">
        <v>0</v>
      </c>
      <c r="AK442">
        <v>23</v>
      </c>
      <c r="AL442" t="s">
        <v>6876</v>
      </c>
      <c r="AM442" t="s">
        <v>1342</v>
      </c>
      <c r="AN442" t="s">
        <v>6877</v>
      </c>
      <c r="AO442" t="s">
        <v>6856</v>
      </c>
      <c r="AP442" t="s">
        <v>6878</v>
      </c>
      <c r="AQ442" t="s">
        <v>74</v>
      </c>
      <c r="AR442" t="s">
        <v>6857</v>
      </c>
      <c r="AS442" t="s">
        <v>6858</v>
      </c>
      <c r="AT442" t="s">
        <v>5770</v>
      </c>
      <c r="AU442">
        <v>2005</v>
      </c>
      <c r="AV442">
        <v>69</v>
      </c>
      <c r="AW442" t="s">
        <v>74</v>
      </c>
      <c r="AX442" t="s">
        <v>74</v>
      </c>
      <c r="AY442">
        <v>2</v>
      </c>
      <c r="AZ442" t="s">
        <v>74</v>
      </c>
      <c r="BA442" t="s">
        <v>74</v>
      </c>
      <c r="BB442">
        <v>237</v>
      </c>
      <c r="BC442">
        <v>269</v>
      </c>
      <c r="BD442" t="s">
        <v>74</v>
      </c>
      <c r="BE442" t="s">
        <v>7089</v>
      </c>
      <c r="BF442" t="str">
        <f>HYPERLINK("http://dx.doi.org/10.3989/scimar.2005.69s2237","http://dx.doi.org/10.3989/scimar.2005.69s2237")</f>
        <v>http://dx.doi.org/10.3989/scimar.2005.69s2237</v>
      </c>
      <c r="BG442" t="s">
        <v>74</v>
      </c>
      <c r="BH442" t="s">
        <v>74</v>
      </c>
      <c r="BI442">
        <v>33</v>
      </c>
      <c r="BJ442" t="s">
        <v>206</v>
      </c>
      <c r="BK442" t="s">
        <v>1411</v>
      </c>
      <c r="BL442" t="s">
        <v>206</v>
      </c>
      <c r="BM442" t="s">
        <v>6860</v>
      </c>
      <c r="BN442" t="s">
        <v>74</v>
      </c>
      <c r="BO442" t="s">
        <v>3696</v>
      </c>
      <c r="BP442" t="s">
        <v>74</v>
      </c>
      <c r="BQ442" t="s">
        <v>74</v>
      </c>
      <c r="BR442" t="s">
        <v>101</v>
      </c>
      <c r="BS442" t="s">
        <v>7090</v>
      </c>
      <c r="BT442" t="str">
        <f>HYPERLINK("https%3A%2F%2Fwww.webofscience.com%2Fwos%2Fwoscc%2Ffull-record%2FWOS:000234678700023","View Full Record in Web of Science")</f>
        <v>View Full Record in Web of Science</v>
      </c>
    </row>
    <row r="443" spans="1:72" x14ac:dyDescent="0.15">
      <c r="A443" t="s">
        <v>72</v>
      </c>
      <c r="B443" t="s">
        <v>7091</v>
      </c>
      <c r="C443" t="s">
        <v>74</v>
      </c>
      <c r="D443" t="s">
        <v>74</v>
      </c>
      <c r="E443" t="s">
        <v>74</v>
      </c>
      <c r="F443" t="s">
        <v>7091</v>
      </c>
      <c r="G443" t="s">
        <v>74</v>
      </c>
      <c r="H443" t="s">
        <v>74</v>
      </c>
      <c r="I443" t="s">
        <v>7092</v>
      </c>
      <c r="J443" t="s">
        <v>6850</v>
      </c>
      <c r="K443" t="s">
        <v>74</v>
      </c>
      <c r="L443" t="s">
        <v>74</v>
      </c>
      <c r="M443" t="s">
        <v>77</v>
      </c>
      <c r="N443" t="s">
        <v>335</v>
      </c>
      <c r="O443" t="s">
        <v>6865</v>
      </c>
      <c r="P443">
        <v>2003</v>
      </c>
      <c r="Q443" t="s">
        <v>6866</v>
      </c>
      <c r="R443" t="s">
        <v>74</v>
      </c>
      <c r="S443" t="s">
        <v>74</v>
      </c>
      <c r="T443" t="s">
        <v>7093</v>
      </c>
      <c r="U443" t="s">
        <v>7094</v>
      </c>
      <c r="V443" t="s">
        <v>7095</v>
      </c>
      <c r="W443" t="s">
        <v>7096</v>
      </c>
      <c r="X443" t="s">
        <v>426</v>
      </c>
      <c r="Y443" t="s">
        <v>7085</v>
      </c>
      <c r="Z443" t="s">
        <v>959</v>
      </c>
      <c r="AA443" t="s">
        <v>7097</v>
      </c>
      <c r="AB443" t="s">
        <v>7098</v>
      </c>
      <c r="AC443" t="s">
        <v>74</v>
      </c>
      <c r="AD443" t="s">
        <v>74</v>
      </c>
      <c r="AE443" t="s">
        <v>74</v>
      </c>
      <c r="AF443" t="s">
        <v>74</v>
      </c>
      <c r="AG443">
        <v>127</v>
      </c>
      <c r="AH443">
        <v>77</v>
      </c>
      <c r="AI443">
        <v>85</v>
      </c>
      <c r="AJ443">
        <v>0</v>
      </c>
      <c r="AK443">
        <v>42</v>
      </c>
      <c r="AL443" t="s">
        <v>6876</v>
      </c>
      <c r="AM443" t="s">
        <v>1342</v>
      </c>
      <c r="AN443" t="s">
        <v>6877</v>
      </c>
      <c r="AO443" t="s">
        <v>6856</v>
      </c>
      <c r="AP443" t="s">
        <v>6878</v>
      </c>
      <c r="AQ443" t="s">
        <v>74</v>
      </c>
      <c r="AR443" t="s">
        <v>6857</v>
      </c>
      <c r="AS443" t="s">
        <v>6858</v>
      </c>
      <c r="AT443" t="s">
        <v>5770</v>
      </c>
      <c r="AU443">
        <v>2005</v>
      </c>
      <c r="AV443">
        <v>69</v>
      </c>
      <c r="AW443" t="s">
        <v>74</v>
      </c>
      <c r="AX443" t="s">
        <v>74</v>
      </c>
      <c r="AY443">
        <v>2</v>
      </c>
      <c r="AZ443" t="s">
        <v>74</v>
      </c>
      <c r="BA443" t="s">
        <v>74</v>
      </c>
      <c r="BB443">
        <v>271</v>
      </c>
      <c r="BC443">
        <v>285</v>
      </c>
      <c r="BD443" t="s">
        <v>74</v>
      </c>
      <c r="BE443" t="s">
        <v>74</v>
      </c>
      <c r="BF443" t="s">
        <v>74</v>
      </c>
      <c r="BG443" t="s">
        <v>74</v>
      </c>
      <c r="BH443" t="s">
        <v>74</v>
      </c>
      <c r="BI443">
        <v>15</v>
      </c>
      <c r="BJ443" t="s">
        <v>206</v>
      </c>
      <c r="BK443" t="s">
        <v>1411</v>
      </c>
      <c r="BL443" t="s">
        <v>206</v>
      </c>
      <c r="BM443" t="s">
        <v>6860</v>
      </c>
      <c r="BN443" t="s">
        <v>74</v>
      </c>
      <c r="BO443" t="s">
        <v>74</v>
      </c>
      <c r="BP443" t="s">
        <v>74</v>
      </c>
      <c r="BQ443" t="s">
        <v>74</v>
      </c>
      <c r="BR443" t="s">
        <v>101</v>
      </c>
      <c r="BS443" t="s">
        <v>7099</v>
      </c>
      <c r="BT443" t="str">
        <f>HYPERLINK("https%3A%2F%2Fwww.webofscience.com%2Fwos%2Fwoscc%2Ffull-record%2FWOS:000234678700024","View Full Record in Web of Science")</f>
        <v>View Full Record in Web of Science</v>
      </c>
    </row>
    <row r="444" spans="1:72" x14ac:dyDescent="0.15">
      <c r="A444" t="s">
        <v>72</v>
      </c>
      <c r="B444" t="s">
        <v>7100</v>
      </c>
      <c r="C444" t="s">
        <v>74</v>
      </c>
      <c r="D444" t="s">
        <v>74</v>
      </c>
      <c r="E444" t="s">
        <v>74</v>
      </c>
      <c r="F444" t="s">
        <v>7100</v>
      </c>
      <c r="G444" t="s">
        <v>74</v>
      </c>
      <c r="H444" t="s">
        <v>74</v>
      </c>
      <c r="I444" t="s">
        <v>7101</v>
      </c>
      <c r="J444" t="s">
        <v>6850</v>
      </c>
      <c r="K444" t="s">
        <v>74</v>
      </c>
      <c r="L444" t="s">
        <v>74</v>
      </c>
      <c r="M444" t="s">
        <v>77</v>
      </c>
      <c r="N444" t="s">
        <v>335</v>
      </c>
      <c r="O444" t="s">
        <v>6865</v>
      </c>
      <c r="P444">
        <v>2003</v>
      </c>
      <c r="Q444" t="s">
        <v>6866</v>
      </c>
      <c r="R444" t="s">
        <v>74</v>
      </c>
      <c r="S444" t="s">
        <v>74</v>
      </c>
      <c r="T444" t="s">
        <v>7102</v>
      </c>
      <c r="U444" t="s">
        <v>7103</v>
      </c>
      <c r="V444" t="s">
        <v>7104</v>
      </c>
      <c r="W444" t="s">
        <v>7105</v>
      </c>
      <c r="X444" t="s">
        <v>7106</v>
      </c>
      <c r="Y444" t="s">
        <v>7107</v>
      </c>
      <c r="Z444" t="s">
        <v>7108</v>
      </c>
      <c r="AA444" t="s">
        <v>74</v>
      </c>
      <c r="AB444" t="s">
        <v>7109</v>
      </c>
      <c r="AC444" t="s">
        <v>74</v>
      </c>
      <c r="AD444" t="s">
        <v>74</v>
      </c>
      <c r="AE444" t="s">
        <v>74</v>
      </c>
      <c r="AF444" t="s">
        <v>74</v>
      </c>
      <c r="AG444">
        <v>38</v>
      </c>
      <c r="AH444">
        <v>11</v>
      </c>
      <c r="AI444">
        <v>12</v>
      </c>
      <c r="AJ444">
        <v>0</v>
      </c>
      <c r="AK444">
        <v>10</v>
      </c>
      <c r="AL444" t="s">
        <v>6876</v>
      </c>
      <c r="AM444" t="s">
        <v>1342</v>
      </c>
      <c r="AN444" t="s">
        <v>6877</v>
      </c>
      <c r="AO444" t="s">
        <v>6856</v>
      </c>
      <c r="AP444" t="s">
        <v>6878</v>
      </c>
      <c r="AQ444" t="s">
        <v>74</v>
      </c>
      <c r="AR444" t="s">
        <v>6857</v>
      </c>
      <c r="AS444" t="s">
        <v>6858</v>
      </c>
      <c r="AT444" t="s">
        <v>5770</v>
      </c>
      <c r="AU444">
        <v>2005</v>
      </c>
      <c r="AV444">
        <v>69</v>
      </c>
      <c r="AW444" t="s">
        <v>74</v>
      </c>
      <c r="AX444" t="s">
        <v>74</v>
      </c>
      <c r="AY444">
        <v>2</v>
      </c>
      <c r="AZ444" t="s">
        <v>74</v>
      </c>
      <c r="BA444" t="s">
        <v>74</v>
      </c>
      <c r="BB444">
        <v>287</v>
      </c>
      <c r="BC444">
        <v>295</v>
      </c>
      <c r="BD444" t="s">
        <v>74</v>
      </c>
      <c r="BE444" t="s">
        <v>74</v>
      </c>
      <c r="BF444" t="s">
        <v>74</v>
      </c>
      <c r="BG444" t="s">
        <v>74</v>
      </c>
      <c r="BH444" t="s">
        <v>74</v>
      </c>
      <c r="BI444">
        <v>9</v>
      </c>
      <c r="BJ444" t="s">
        <v>206</v>
      </c>
      <c r="BK444" t="s">
        <v>1411</v>
      </c>
      <c r="BL444" t="s">
        <v>206</v>
      </c>
      <c r="BM444" t="s">
        <v>6860</v>
      </c>
      <c r="BN444" t="s">
        <v>74</v>
      </c>
      <c r="BO444" t="s">
        <v>74</v>
      </c>
      <c r="BP444" t="s">
        <v>74</v>
      </c>
      <c r="BQ444" t="s">
        <v>74</v>
      </c>
      <c r="BR444" t="s">
        <v>101</v>
      </c>
      <c r="BS444" t="s">
        <v>7110</v>
      </c>
      <c r="BT444" t="str">
        <f>HYPERLINK("https%3A%2F%2Fwww.webofscience.com%2Fwos%2Fwoscc%2Ffull-record%2FWOS:000234678700025","View Full Record in Web of Science")</f>
        <v>View Full Record in Web of Science</v>
      </c>
    </row>
    <row r="445" spans="1:72" x14ac:dyDescent="0.15">
      <c r="A445" t="s">
        <v>72</v>
      </c>
      <c r="B445" t="s">
        <v>7111</v>
      </c>
      <c r="C445" t="s">
        <v>74</v>
      </c>
      <c r="D445" t="s">
        <v>74</v>
      </c>
      <c r="E445" t="s">
        <v>74</v>
      </c>
      <c r="F445" t="s">
        <v>7111</v>
      </c>
      <c r="G445" t="s">
        <v>74</v>
      </c>
      <c r="H445" t="s">
        <v>74</v>
      </c>
      <c r="I445" t="s">
        <v>7112</v>
      </c>
      <c r="J445" t="s">
        <v>6850</v>
      </c>
      <c r="K445" t="s">
        <v>74</v>
      </c>
      <c r="L445" t="s">
        <v>74</v>
      </c>
      <c r="M445" t="s">
        <v>77</v>
      </c>
      <c r="N445" t="s">
        <v>335</v>
      </c>
      <c r="O445" t="s">
        <v>6865</v>
      </c>
      <c r="P445">
        <v>2003</v>
      </c>
      <c r="Q445" t="s">
        <v>6866</v>
      </c>
      <c r="R445" t="s">
        <v>74</v>
      </c>
      <c r="S445" t="s">
        <v>74</v>
      </c>
      <c r="T445" t="s">
        <v>7113</v>
      </c>
      <c r="U445" t="s">
        <v>7114</v>
      </c>
      <c r="V445" t="s">
        <v>7115</v>
      </c>
      <c r="W445" t="s">
        <v>7116</v>
      </c>
      <c r="X445" t="s">
        <v>7117</v>
      </c>
      <c r="Y445" t="s">
        <v>7118</v>
      </c>
      <c r="Z445" t="s">
        <v>7119</v>
      </c>
      <c r="AA445" t="s">
        <v>74</v>
      </c>
      <c r="AB445" t="s">
        <v>7120</v>
      </c>
      <c r="AC445" t="s">
        <v>74</v>
      </c>
      <c r="AD445" t="s">
        <v>74</v>
      </c>
      <c r="AE445" t="s">
        <v>74</v>
      </c>
      <c r="AF445" t="s">
        <v>74</v>
      </c>
      <c r="AG445">
        <v>45</v>
      </c>
      <c r="AH445">
        <v>11</v>
      </c>
      <c r="AI445">
        <v>12</v>
      </c>
      <c r="AJ445">
        <v>0</v>
      </c>
      <c r="AK445">
        <v>4</v>
      </c>
      <c r="AL445" t="s">
        <v>6876</v>
      </c>
      <c r="AM445" t="s">
        <v>1342</v>
      </c>
      <c r="AN445" t="s">
        <v>6877</v>
      </c>
      <c r="AO445" t="s">
        <v>6856</v>
      </c>
      <c r="AP445" t="s">
        <v>6878</v>
      </c>
      <c r="AQ445" t="s">
        <v>74</v>
      </c>
      <c r="AR445" t="s">
        <v>6857</v>
      </c>
      <c r="AS445" t="s">
        <v>6858</v>
      </c>
      <c r="AT445" t="s">
        <v>5770</v>
      </c>
      <c r="AU445">
        <v>2005</v>
      </c>
      <c r="AV445">
        <v>69</v>
      </c>
      <c r="AW445" t="s">
        <v>74</v>
      </c>
      <c r="AX445" t="s">
        <v>74</v>
      </c>
      <c r="AY445">
        <v>2</v>
      </c>
      <c r="AZ445" t="s">
        <v>74</v>
      </c>
      <c r="BA445" t="s">
        <v>74</v>
      </c>
      <c r="BB445">
        <v>297</v>
      </c>
      <c r="BC445">
        <v>304</v>
      </c>
      <c r="BD445" t="s">
        <v>74</v>
      </c>
      <c r="BE445" t="s">
        <v>74</v>
      </c>
      <c r="BF445" t="s">
        <v>74</v>
      </c>
      <c r="BG445" t="s">
        <v>74</v>
      </c>
      <c r="BH445" t="s">
        <v>74</v>
      </c>
      <c r="BI445">
        <v>8</v>
      </c>
      <c r="BJ445" t="s">
        <v>206</v>
      </c>
      <c r="BK445" t="s">
        <v>1411</v>
      </c>
      <c r="BL445" t="s">
        <v>206</v>
      </c>
      <c r="BM445" t="s">
        <v>6860</v>
      </c>
      <c r="BN445" t="s">
        <v>74</v>
      </c>
      <c r="BO445" t="s">
        <v>74</v>
      </c>
      <c r="BP445" t="s">
        <v>74</v>
      </c>
      <c r="BQ445" t="s">
        <v>74</v>
      </c>
      <c r="BR445" t="s">
        <v>101</v>
      </c>
      <c r="BS445" t="s">
        <v>7121</v>
      </c>
      <c r="BT445" t="str">
        <f>HYPERLINK("https%3A%2F%2Fwww.webofscience.com%2Fwos%2Fwoscc%2Ffull-record%2FWOS:000234678700026","View Full Record in Web of Science")</f>
        <v>View Full Record in Web of Science</v>
      </c>
    </row>
    <row r="446" spans="1:72" x14ac:dyDescent="0.15">
      <c r="A446" t="s">
        <v>72</v>
      </c>
      <c r="B446" t="s">
        <v>7122</v>
      </c>
      <c r="C446" t="s">
        <v>74</v>
      </c>
      <c r="D446" t="s">
        <v>74</v>
      </c>
      <c r="E446" t="s">
        <v>74</v>
      </c>
      <c r="F446" t="s">
        <v>7122</v>
      </c>
      <c r="G446" t="s">
        <v>74</v>
      </c>
      <c r="H446" t="s">
        <v>74</v>
      </c>
      <c r="I446" t="s">
        <v>7123</v>
      </c>
      <c r="J446" t="s">
        <v>6850</v>
      </c>
      <c r="K446" t="s">
        <v>74</v>
      </c>
      <c r="L446" t="s">
        <v>74</v>
      </c>
      <c r="M446" t="s">
        <v>77</v>
      </c>
      <c r="N446" t="s">
        <v>335</v>
      </c>
      <c r="O446" t="s">
        <v>6865</v>
      </c>
      <c r="P446">
        <v>2003</v>
      </c>
      <c r="Q446" t="s">
        <v>6866</v>
      </c>
      <c r="R446" t="s">
        <v>74</v>
      </c>
      <c r="S446" t="s">
        <v>74</v>
      </c>
      <c r="T446" t="s">
        <v>7124</v>
      </c>
      <c r="U446" t="s">
        <v>7125</v>
      </c>
      <c r="V446" t="s">
        <v>7126</v>
      </c>
      <c r="W446" t="s">
        <v>7127</v>
      </c>
      <c r="X446" t="s">
        <v>7128</v>
      </c>
      <c r="Y446" t="s">
        <v>7129</v>
      </c>
      <c r="Z446" t="s">
        <v>7130</v>
      </c>
      <c r="AA446" t="s">
        <v>74</v>
      </c>
      <c r="AB446" t="s">
        <v>74</v>
      </c>
      <c r="AC446" t="s">
        <v>74</v>
      </c>
      <c r="AD446" t="s">
        <v>74</v>
      </c>
      <c r="AE446" t="s">
        <v>74</v>
      </c>
      <c r="AF446" t="s">
        <v>74</v>
      </c>
      <c r="AG446">
        <v>62</v>
      </c>
      <c r="AH446">
        <v>21</v>
      </c>
      <c r="AI446">
        <v>23</v>
      </c>
      <c r="AJ446">
        <v>1</v>
      </c>
      <c r="AK446">
        <v>25</v>
      </c>
      <c r="AL446" t="s">
        <v>6876</v>
      </c>
      <c r="AM446" t="s">
        <v>1342</v>
      </c>
      <c r="AN446" t="s">
        <v>6877</v>
      </c>
      <c r="AO446" t="s">
        <v>6856</v>
      </c>
      <c r="AP446" t="s">
        <v>6878</v>
      </c>
      <c r="AQ446" t="s">
        <v>74</v>
      </c>
      <c r="AR446" t="s">
        <v>6857</v>
      </c>
      <c r="AS446" t="s">
        <v>6858</v>
      </c>
      <c r="AT446" t="s">
        <v>5770</v>
      </c>
      <c r="AU446">
        <v>2005</v>
      </c>
      <c r="AV446">
        <v>69</v>
      </c>
      <c r="AW446" t="s">
        <v>74</v>
      </c>
      <c r="AX446" t="s">
        <v>74</v>
      </c>
      <c r="AY446">
        <v>2</v>
      </c>
      <c r="AZ446" t="s">
        <v>74</v>
      </c>
      <c r="BA446" t="s">
        <v>74</v>
      </c>
      <c r="BB446">
        <v>305</v>
      </c>
      <c r="BC446">
        <v>316</v>
      </c>
      <c r="BD446" t="s">
        <v>74</v>
      </c>
      <c r="BE446" t="s">
        <v>7131</v>
      </c>
      <c r="BF446" t="str">
        <f>HYPERLINK("http://dx.doi.org/10.3989/scimar.2005.69s2305","http://dx.doi.org/10.3989/scimar.2005.69s2305")</f>
        <v>http://dx.doi.org/10.3989/scimar.2005.69s2305</v>
      </c>
      <c r="BG446" t="s">
        <v>74</v>
      </c>
      <c r="BH446" t="s">
        <v>74</v>
      </c>
      <c r="BI446">
        <v>12</v>
      </c>
      <c r="BJ446" t="s">
        <v>206</v>
      </c>
      <c r="BK446" t="s">
        <v>1411</v>
      </c>
      <c r="BL446" t="s">
        <v>206</v>
      </c>
      <c r="BM446" t="s">
        <v>6860</v>
      </c>
      <c r="BN446" t="s">
        <v>74</v>
      </c>
      <c r="BO446" t="s">
        <v>6861</v>
      </c>
      <c r="BP446" t="s">
        <v>74</v>
      </c>
      <c r="BQ446" t="s">
        <v>74</v>
      </c>
      <c r="BR446" t="s">
        <v>101</v>
      </c>
      <c r="BS446" t="s">
        <v>7132</v>
      </c>
      <c r="BT446" t="str">
        <f>HYPERLINK("https%3A%2F%2Fwww.webofscience.com%2Fwos%2Fwoscc%2Ffull-record%2FWOS:000234678700027","View Full Record in Web of Science")</f>
        <v>View Full Record in Web of Science</v>
      </c>
    </row>
    <row r="447" spans="1:72" x14ac:dyDescent="0.15">
      <c r="A447" t="s">
        <v>72</v>
      </c>
      <c r="B447" t="s">
        <v>7133</v>
      </c>
      <c r="C447" t="s">
        <v>74</v>
      </c>
      <c r="D447" t="s">
        <v>74</v>
      </c>
      <c r="E447" t="s">
        <v>74</v>
      </c>
      <c r="F447" t="s">
        <v>7133</v>
      </c>
      <c r="G447" t="s">
        <v>74</v>
      </c>
      <c r="H447" t="s">
        <v>74</v>
      </c>
      <c r="I447" t="s">
        <v>7134</v>
      </c>
      <c r="J447" t="s">
        <v>6850</v>
      </c>
      <c r="K447" t="s">
        <v>74</v>
      </c>
      <c r="L447" t="s">
        <v>74</v>
      </c>
      <c r="M447" t="s">
        <v>77</v>
      </c>
      <c r="N447" t="s">
        <v>335</v>
      </c>
      <c r="O447" t="s">
        <v>6865</v>
      </c>
      <c r="P447">
        <v>2003</v>
      </c>
      <c r="Q447" t="s">
        <v>6866</v>
      </c>
      <c r="R447" t="s">
        <v>74</v>
      </c>
      <c r="S447" t="s">
        <v>74</v>
      </c>
      <c r="T447" t="s">
        <v>7135</v>
      </c>
      <c r="U447" t="s">
        <v>7136</v>
      </c>
      <c r="V447" t="s">
        <v>7137</v>
      </c>
      <c r="W447" t="s">
        <v>7138</v>
      </c>
      <c r="X447" t="s">
        <v>74</v>
      </c>
      <c r="Y447" t="s">
        <v>7139</v>
      </c>
      <c r="Z447" t="s">
        <v>7130</v>
      </c>
      <c r="AA447" t="s">
        <v>74</v>
      </c>
      <c r="AB447" t="s">
        <v>74</v>
      </c>
      <c r="AC447" t="s">
        <v>74</v>
      </c>
      <c r="AD447" t="s">
        <v>74</v>
      </c>
      <c r="AE447" t="s">
        <v>74</v>
      </c>
      <c r="AF447" t="s">
        <v>74</v>
      </c>
      <c r="AG447">
        <v>28</v>
      </c>
      <c r="AH447">
        <v>19</v>
      </c>
      <c r="AI447">
        <v>20</v>
      </c>
      <c r="AJ447">
        <v>0</v>
      </c>
      <c r="AK447">
        <v>18</v>
      </c>
      <c r="AL447" t="s">
        <v>6876</v>
      </c>
      <c r="AM447" t="s">
        <v>1342</v>
      </c>
      <c r="AN447" t="s">
        <v>6877</v>
      </c>
      <c r="AO447" t="s">
        <v>6856</v>
      </c>
      <c r="AP447" t="s">
        <v>6878</v>
      </c>
      <c r="AQ447" t="s">
        <v>74</v>
      </c>
      <c r="AR447" t="s">
        <v>6857</v>
      </c>
      <c r="AS447" t="s">
        <v>6858</v>
      </c>
      <c r="AT447" t="s">
        <v>5770</v>
      </c>
      <c r="AU447">
        <v>2005</v>
      </c>
      <c r="AV447">
        <v>69</v>
      </c>
      <c r="AW447" t="s">
        <v>74</v>
      </c>
      <c r="AX447" t="s">
        <v>74</v>
      </c>
      <c r="AY447">
        <v>2</v>
      </c>
      <c r="AZ447" t="s">
        <v>74</v>
      </c>
      <c r="BA447" t="s">
        <v>74</v>
      </c>
      <c r="BB447">
        <v>317</v>
      </c>
      <c r="BC447">
        <v>323</v>
      </c>
      <c r="BD447" t="s">
        <v>74</v>
      </c>
      <c r="BE447" t="s">
        <v>7140</v>
      </c>
      <c r="BF447" t="str">
        <f>HYPERLINK("http://dx.doi.org/10.3989/scimar.2005.69s2317","http://dx.doi.org/10.3989/scimar.2005.69s2317")</f>
        <v>http://dx.doi.org/10.3989/scimar.2005.69s2317</v>
      </c>
      <c r="BG447" t="s">
        <v>74</v>
      </c>
      <c r="BH447" t="s">
        <v>74</v>
      </c>
      <c r="BI447">
        <v>7</v>
      </c>
      <c r="BJ447" t="s">
        <v>206</v>
      </c>
      <c r="BK447" t="s">
        <v>1411</v>
      </c>
      <c r="BL447" t="s">
        <v>206</v>
      </c>
      <c r="BM447" t="s">
        <v>6860</v>
      </c>
      <c r="BN447" t="s">
        <v>74</v>
      </c>
      <c r="BO447" t="s">
        <v>6861</v>
      </c>
      <c r="BP447" t="s">
        <v>74</v>
      </c>
      <c r="BQ447" t="s">
        <v>74</v>
      </c>
      <c r="BR447" t="s">
        <v>101</v>
      </c>
      <c r="BS447" t="s">
        <v>7141</v>
      </c>
      <c r="BT447" t="str">
        <f>HYPERLINK("https%3A%2F%2Fwww.webofscience.com%2Fwos%2Fwoscc%2Ffull-record%2FWOS:000234678700028","View Full Record in Web of Science")</f>
        <v>View Full Record in Web of Science</v>
      </c>
    </row>
    <row r="448" spans="1:72" x14ac:dyDescent="0.15">
      <c r="A448" t="s">
        <v>72</v>
      </c>
      <c r="B448" t="s">
        <v>7142</v>
      </c>
      <c r="C448" t="s">
        <v>74</v>
      </c>
      <c r="D448" t="s">
        <v>74</v>
      </c>
      <c r="E448" t="s">
        <v>74</v>
      </c>
      <c r="F448" t="s">
        <v>7142</v>
      </c>
      <c r="G448" t="s">
        <v>74</v>
      </c>
      <c r="H448" t="s">
        <v>74</v>
      </c>
      <c r="I448" t="s">
        <v>7143</v>
      </c>
      <c r="J448" t="s">
        <v>6850</v>
      </c>
      <c r="K448" t="s">
        <v>74</v>
      </c>
      <c r="L448" t="s">
        <v>74</v>
      </c>
      <c r="M448" t="s">
        <v>77</v>
      </c>
      <c r="N448" t="s">
        <v>335</v>
      </c>
      <c r="O448" t="s">
        <v>6865</v>
      </c>
      <c r="P448">
        <v>2003</v>
      </c>
      <c r="Q448" t="s">
        <v>6866</v>
      </c>
      <c r="R448" t="s">
        <v>74</v>
      </c>
      <c r="S448" t="s">
        <v>74</v>
      </c>
      <c r="T448" t="s">
        <v>7144</v>
      </c>
      <c r="U448" t="s">
        <v>7145</v>
      </c>
      <c r="V448" t="s">
        <v>7146</v>
      </c>
      <c r="W448" t="s">
        <v>7147</v>
      </c>
      <c r="X448" t="s">
        <v>7148</v>
      </c>
      <c r="Y448" t="s">
        <v>7149</v>
      </c>
      <c r="Z448" t="s">
        <v>7150</v>
      </c>
      <c r="AA448" t="s">
        <v>7151</v>
      </c>
      <c r="AB448" t="s">
        <v>7152</v>
      </c>
      <c r="AC448" t="s">
        <v>74</v>
      </c>
      <c r="AD448" t="s">
        <v>74</v>
      </c>
      <c r="AE448" t="s">
        <v>74</v>
      </c>
      <c r="AF448" t="s">
        <v>74</v>
      </c>
      <c r="AG448">
        <v>77</v>
      </c>
      <c r="AH448">
        <v>4</v>
      </c>
      <c r="AI448">
        <v>5</v>
      </c>
      <c r="AJ448">
        <v>0</v>
      </c>
      <c r="AK448">
        <v>1</v>
      </c>
      <c r="AL448" t="s">
        <v>6876</v>
      </c>
      <c r="AM448" t="s">
        <v>1342</v>
      </c>
      <c r="AN448" t="s">
        <v>6877</v>
      </c>
      <c r="AO448" t="s">
        <v>6856</v>
      </c>
      <c r="AP448" t="s">
        <v>6878</v>
      </c>
      <c r="AQ448" t="s">
        <v>74</v>
      </c>
      <c r="AR448" t="s">
        <v>6857</v>
      </c>
      <c r="AS448" t="s">
        <v>6858</v>
      </c>
      <c r="AT448" t="s">
        <v>5770</v>
      </c>
      <c r="AU448">
        <v>2005</v>
      </c>
      <c r="AV448">
        <v>69</v>
      </c>
      <c r="AW448" t="s">
        <v>74</v>
      </c>
      <c r="AX448" t="s">
        <v>74</v>
      </c>
      <c r="AY448">
        <v>2</v>
      </c>
      <c r="AZ448" t="s">
        <v>74</v>
      </c>
      <c r="BA448" t="s">
        <v>74</v>
      </c>
      <c r="BB448">
        <v>325</v>
      </c>
      <c r="BC448">
        <v>336</v>
      </c>
      <c r="BD448" t="s">
        <v>74</v>
      </c>
      <c r="BE448" t="s">
        <v>7153</v>
      </c>
      <c r="BF448" t="str">
        <f>HYPERLINK("http://dx.doi.org/10.3989/scimar.2005.69s2325","http://dx.doi.org/10.3989/scimar.2005.69s2325")</f>
        <v>http://dx.doi.org/10.3989/scimar.2005.69s2325</v>
      </c>
      <c r="BG448" t="s">
        <v>74</v>
      </c>
      <c r="BH448" t="s">
        <v>74</v>
      </c>
      <c r="BI448">
        <v>12</v>
      </c>
      <c r="BJ448" t="s">
        <v>206</v>
      </c>
      <c r="BK448" t="s">
        <v>1411</v>
      </c>
      <c r="BL448" t="s">
        <v>206</v>
      </c>
      <c r="BM448" t="s">
        <v>6860</v>
      </c>
      <c r="BN448" t="s">
        <v>74</v>
      </c>
      <c r="BO448" t="s">
        <v>418</v>
      </c>
      <c r="BP448" t="s">
        <v>74</v>
      </c>
      <c r="BQ448" t="s">
        <v>74</v>
      </c>
      <c r="BR448" t="s">
        <v>101</v>
      </c>
      <c r="BS448" t="s">
        <v>7154</v>
      </c>
      <c r="BT448" t="str">
        <f>HYPERLINK("https%3A%2F%2Fwww.webofscience.com%2Fwos%2Fwoscc%2Ffull-record%2FWOS:000234678700029","View Full Record in Web of Science")</f>
        <v>View Full Record in Web of Science</v>
      </c>
    </row>
    <row r="449" spans="1:72" x14ac:dyDescent="0.15">
      <c r="A449" t="s">
        <v>72</v>
      </c>
      <c r="B449" t="s">
        <v>7155</v>
      </c>
      <c r="C449" t="s">
        <v>74</v>
      </c>
      <c r="D449" t="s">
        <v>74</v>
      </c>
      <c r="E449" t="s">
        <v>74</v>
      </c>
      <c r="F449" t="s">
        <v>7155</v>
      </c>
      <c r="G449" t="s">
        <v>74</v>
      </c>
      <c r="H449" t="s">
        <v>74</v>
      </c>
      <c r="I449" t="s">
        <v>7156</v>
      </c>
      <c r="J449" t="s">
        <v>6850</v>
      </c>
      <c r="K449" t="s">
        <v>74</v>
      </c>
      <c r="L449" t="s">
        <v>74</v>
      </c>
      <c r="M449" t="s">
        <v>77</v>
      </c>
      <c r="N449" t="s">
        <v>335</v>
      </c>
      <c r="O449" t="s">
        <v>6865</v>
      </c>
      <c r="P449">
        <v>2003</v>
      </c>
      <c r="Q449" t="s">
        <v>6866</v>
      </c>
      <c r="R449" t="s">
        <v>74</v>
      </c>
      <c r="S449" t="s">
        <v>74</v>
      </c>
      <c r="T449" t="s">
        <v>7157</v>
      </c>
      <c r="U449" t="s">
        <v>7158</v>
      </c>
      <c r="V449" t="s">
        <v>7159</v>
      </c>
      <c r="W449" t="s">
        <v>7160</v>
      </c>
      <c r="X449" t="s">
        <v>7161</v>
      </c>
      <c r="Y449" t="s">
        <v>7162</v>
      </c>
      <c r="Z449" t="s">
        <v>7163</v>
      </c>
      <c r="AA449" t="s">
        <v>74</v>
      </c>
      <c r="AB449" t="s">
        <v>74</v>
      </c>
      <c r="AC449" t="s">
        <v>74</v>
      </c>
      <c r="AD449" t="s">
        <v>74</v>
      </c>
      <c r="AE449" t="s">
        <v>74</v>
      </c>
      <c r="AF449" t="s">
        <v>74</v>
      </c>
      <c r="AG449">
        <v>22</v>
      </c>
      <c r="AH449">
        <v>15</v>
      </c>
      <c r="AI449">
        <v>15</v>
      </c>
      <c r="AJ449">
        <v>0</v>
      </c>
      <c r="AK449">
        <v>1</v>
      </c>
      <c r="AL449" t="s">
        <v>6876</v>
      </c>
      <c r="AM449" t="s">
        <v>1342</v>
      </c>
      <c r="AN449" t="s">
        <v>6877</v>
      </c>
      <c r="AO449" t="s">
        <v>6856</v>
      </c>
      <c r="AP449" t="s">
        <v>6878</v>
      </c>
      <c r="AQ449" t="s">
        <v>74</v>
      </c>
      <c r="AR449" t="s">
        <v>6857</v>
      </c>
      <c r="AS449" t="s">
        <v>6858</v>
      </c>
      <c r="AT449" t="s">
        <v>5770</v>
      </c>
      <c r="AU449">
        <v>2005</v>
      </c>
      <c r="AV449">
        <v>69</v>
      </c>
      <c r="AW449" t="s">
        <v>74</v>
      </c>
      <c r="AX449" t="s">
        <v>74</v>
      </c>
      <c r="AY449">
        <v>2</v>
      </c>
      <c r="AZ449" t="s">
        <v>74</v>
      </c>
      <c r="BA449" t="s">
        <v>74</v>
      </c>
      <c r="BB449">
        <v>349</v>
      </c>
      <c r="BC449">
        <v>353</v>
      </c>
      <c r="BD449" t="s">
        <v>74</v>
      </c>
      <c r="BE449" t="s">
        <v>7164</v>
      </c>
      <c r="BF449" t="str">
        <f>HYPERLINK("http://dx.doi.org/10.3989/scimar.2005.69s2349","http://dx.doi.org/10.3989/scimar.2005.69s2349")</f>
        <v>http://dx.doi.org/10.3989/scimar.2005.69s2349</v>
      </c>
      <c r="BG449" t="s">
        <v>74</v>
      </c>
      <c r="BH449" t="s">
        <v>74</v>
      </c>
      <c r="BI449">
        <v>5</v>
      </c>
      <c r="BJ449" t="s">
        <v>206</v>
      </c>
      <c r="BK449" t="s">
        <v>1411</v>
      </c>
      <c r="BL449" t="s">
        <v>206</v>
      </c>
      <c r="BM449" t="s">
        <v>6860</v>
      </c>
      <c r="BN449" t="s">
        <v>74</v>
      </c>
      <c r="BO449" t="s">
        <v>6861</v>
      </c>
      <c r="BP449" t="s">
        <v>74</v>
      </c>
      <c r="BQ449" t="s">
        <v>74</v>
      </c>
      <c r="BR449" t="s">
        <v>101</v>
      </c>
      <c r="BS449" t="s">
        <v>7165</v>
      </c>
      <c r="BT449" t="str">
        <f>HYPERLINK("https%3A%2F%2Fwww.webofscience.com%2Fwos%2Fwoscc%2Ffull-record%2FWOS:000234678700031","View Full Record in Web of Science")</f>
        <v>View Full Record in Web of Science</v>
      </c>
    </row>
    <row r="450" spans="1:72" x14ac:dyDescent="0.15">
      <c r="A450" t="s">
        <v>72</v>
      </c>
      <c r="B450" t="s">
        <v>7166</v>
      </c>
      <c r="C450" t="s">
        <v>74</v>
      </c>
      <c r="D450" t="s">
        <v>74</v>
      </c>
      <c r="E450" t="s">
        <v>74</v>
      </c>
      <c r="F450" t="s">
        <v>7166</v>
      </c>
      <c r="G450" t="s">
        <v>74</v>
      </c>
      <c r="H450" t="s">
        <v>74</v>
      </c>
      <c r="I450" t="s">
        <v>7167</v>
      </c>
      <c r="J450" t="s">
        <v>6850</v>
      </c>
      <c r="K450" t="s">
        <v>74</v>
      </c>
      <c r="L450" t="s">
        <v>74</v>
      </c>
      <c r="M450" t="s">
        <v>77</v>
      </c>
      <c r="N450" t="s">
        <v>335</v>
      </c>
      <c r="O450" t="s">
        <v>6865</v>
      </c>
      <c r="P450">
        <v>2003</v>
      </c>
      <c r="Q450" t="s">
        <v>6866</v>
      </c>
      <c r="R450" t="s">
        <v>74</v>
      </c>
      <c r="S450" t="s">
        <v>74</v>
      </c>
      <c r="T450" t="s">
        <v>7168</v>
      </c>
      <c r="U450" t="s">
        <v>7169</v>
      </c>
      <c r="V450" t="s">
        <v>7170</v>
      </c>
      <c r="W450" t="s">
        <v>7171</v>
      </c>
      <c r="X450" t="s">
        <v>7172</v>
      </c>
      <c r="Y450" t="s">
        <v>7173</v>
      </c>
      <c r="Z450" t="s">
        <v>7174</v>
      </c>
      <c r="AA450" t="s">
        <v>74</v>
      </c>
      <c r="AB450" t="s">
        <v>74</v>
      </c>
      <c r="AC450" t="s">
        <v>74</v>
      </c>
      <c r="AD450" t="s">
        <v>74</v>
      </c>
      <c r="AE450" t="s">
        <v>74</v>
      </c>
      <c r="AF450" t="s">
        <v>74</v>
      </c>
      <c r="AG450">
        <v>18</v>
      </c>
      <c r="AH450">
        <v>4</v>
      </c>
      <c r="AI450">
        <v>4</v>
      </c>
      <c r="AJ450">
        <v>0</v>
      </c>
      <c r="AK450">
        <v>3</v>
      </c>
      <c r="AL450" t="s">
        <v>6853</v>
      </c>
      <c r="AM450" t="s">
        <v>6854</v>
      </c>
      <c r="AN450" t="s">
        <v>6855</v>
      </c>
      <c r="AO450" t="s">
        <v>6856</v>
      </c>
      <c r="AP450" t="s">
        <v>74</v>
      </c>
      <c r="AQ450" t="s">
        <v>74</v>
      </c>
      <c r="AR450" t="s">
        <v>6857</v>
      </c>
      <c r="AS450" t="s">
        <v>6858</v>
      </c>
      <c r="AT450" t="s">
        <v>5770</v>
      </c>
      <c r="AU450">
        <v>2005</v>
      </c>
      <c r="AV450">
        <v>69</v>
      </c>
      <c r="AW450" t="s">
        <v>74</v>
      </c>
      <c r="AX450" t="s">
        <v>74</v>
      </c>
      <c r="AY450">
        <v>2</v>
      </c>
      <c r="AZ450" t="s">
        <v>74</v>
      </c>
      <c r="BA450" t="s">
        <v>74</v>
      </c>
      <c r="BB450">
        <v>355</v>
      </c>
      <c r="BC450">
        <v>358</v>
      </c>
      <c r="BD450" t="s">
        <v>74</v>
      </c>
      <c r="BE450" t="s">
        <v>7175</v>
      </c>
      <c r="BF450" t="str">
        <f>HYPERLINK("http://dx.doi.org/10.3989/scimar.2005.69s2355","http://dx.doi.org/10.3989/scimar.2005.69s2355")</f>
        <v>http://dx.doi.org/10.3989/scimar.2005.69s2355</v>
      </c>
      <c r="BG450" t="s">
        <v>74</v>
      </c>
      <c r="BH450" t="s">
        <v>74</v>
      </c>
      <c r="BI450">
        <v>4</v>
      </c>
      <c r="BJ450" t="s">
        <v>206</v>
      </c>
      <c r="BK450" t="s">
        <v>356</v>
      </c>
      <c r="BL450" t="s">
        <v>206</v>
      </c>
      <c r="BM450" t="s">
        <v>6860</v>
      </c>
      <c r="BN450" t="s">
        <v>74</v>
      </c>
      <c r="BO450" t="s">
        <v>436</v>
      </c>
      <c r="BP450" t="s">
        <v>74</v>
      </c>
      <c r="BQ450" t="s">
        <v>74</v>
      </c>
      <c r="BR450" t="s">
        <v>101</v>
      </c>
      <c r="BS450" t="s">
        <v>7176</v>
      </c>
      <c r="BT450" t="str">
        <f>HYPERLINK("https%3A%2F%2Fwww.webofscience.com%2Fwos%2Fwoscc%2Ffull-record%2FWOS:000234678700032","View Full Record in Web of Science")</f>
        <v>View Full Record in Web of Science</v>
      </c>
    </row>
    <row r="451" spans="1:72" x14ac:dyDescent="0.15">
      <c r="A451" t="s">
        <v>72</v>
      </c>
      <c r="B451" t="s">
        <v>7177</v>
      </c>
      <c r="C451" t="s">
        <v>74</v>
      </c>
      <c r="D451" t="s">
        <v>74</v>
      </c>
      <c r="E451" t="s">
        <v>74</v>
      </c>
      <c r="F451" t="s">
        <v>7177</v>
      </c>
      <c r="G451" t="s">
        <v>74</v>
      </c>
      <c r="H451" t="s">
        <v>74</v>
      </c>
      <c r="I451" t="s">
        <v>7178</v>
      </c>
      <c r="J451" t="s">
        <v>6850</v>
      </c>
      <c r="K451" t="s">
        <v>74</v>
      </c>
      <c r="L451" t="s">
        <v>74</v>
      </c>
      <c r="M451" t="s">
        <v>77</v>
      </c>
      <c r="N451" t="s">
        <v>5777</v>
      </c>
      <c r="O451" t="s">
        <v>74</v>
      </c>
      <c r="P451" t="s">
        <v>74</v>
      </c>
      <c r="Q451" t="s">
        <v>74</v>
      </c>
      <c r="R451" t="s">
        <v>74</v>
      </c>
      <c r="S451" t="s">
        <v>74</v>
      </c>
      <c r="T451" t="s">
        <v>74</v>
      </c>
      <c r="U451" t="s">
        <v>7179</v>
      </c>
      <c r="V451" t="s">
        <v>74</v>
      </c>
      <c r="W451" t="s">
        <v>7096</v>
      </c>
      <c r="X451" t="s">
        <v>426</v>
      </c>
      <c r="Y451" t="s">
        <v>6852</v>
      </c>
      <c r="Z451" t="s">
        <v>74</v>
      </c>
      <c r="AA451" t="s">
        <v>74</v>
      </c>
      <c r="AB451" t="s">
        <v>74</v>
      </c>
      <c r="AC451" t="s">
        <v>74</v>
      </c>
      <c r="AD451" t="s">
        <v>74</v>
      </c>
      <c r="AE451" t="s">
        <v>74</v>
      </c>
      <c r="AF451" t="s">
        <v>74</v>
      </c>
      <c r="AG451">
        <v>57</v>
      </c>
      <c r="AH451">
        <v>23</v>
      </c>
      <c r="AI451">
        <v>25</v>
      </c>
      <c r="AJ451">
        <v>0</v>
      </c>
      <c r="AK451">
        <v>1</v>
      </c>
      <c r="AL451" t="s">
        <v>6853</v>
      </c>
      <c r="AM451" t="s">
        <v>6854</v>
      </c>
      <c r="AN451" t="s">
        <v>6855</v>
      </c>
      <c r="AO451" t="s">
        <v>6856</v>
      </c>
      <c r="AP451" t="s">
        <v>74</v>
      </c>
      <c r="AQ451" t="s">
        <v>74</v>
      </c>
      <c r="AR451" t="s">
        <v>6857</v>
      </c>
      <c r="AS451" t="s">
        <v>6858</v>
      </c>
      <c r="AT451" t="s">
        <v>5770</v>
      </c>
      <c r="AU451">
        <v>2005</v>
      </c>
      <c r="AV451">
        <v>69</v>
      </c>
      <c r="AW451" t="s">
        <v>74</v>
      </c>
      <c r="AX451" t="s">
        <v>74</v>
      </c>
      <c r="AY451">
        <v>2</v>
      </c>
      <c r="AZ451" t="s">
        <v>74</v>
      </c>
      <c r="BA451" t="s">
        <v>74</v>
      </c>
      <c r="BB451">
        <v>359</v>
      </c>
      <c r="BC451">
        <v>365</v>
      </c>
      <c r="BD451" t="s">
        <v>74</v>
      </c>
      <c r="BE451" t="s">
        <v>7180</v>
      </c>
      <c r="BF451" t="str">
        <f>HYPERLINK("http://dx.doi.org/10.3989/scimar.2005.69s2359","http://dx.doi.org/10.3989/scimar.2005.69s2359")</f>
        <v>http://dx.doi.org/10.3989/scimar.2005.69s2359</v>
      </c>
      <c r="BG451" t="s">
        <v>74</v>
      </c>
      <c r="BH451" t="s">
        <v>74</v>
      </c>
      <c r="BI451">
        <v>7</v>
      </c>
      <c r="BJ451" t="s">
        <v>206</v>
      </c>
      <c r="BK451" t="s">
        <v>98</v>
      </c>
      <c r="BL451" t="s">
        <v>206</v>
      </c>
      <c r="BM451" t="s">
        <v>6860</v>
      </c>
      <c r="BN451" t="s">
        <v>74</v>
      </c>
      <c r="BO451" t="s">
        <v>450</v>
      </c>
      <c r="BP451" t="s">
        <v>74</v>
      </c>
      <c r="BQ451" t="s">
        <v>74</v>
      </c>
      <c r="BR451" t="s">
        <v>101</v>
      </c>
      <c r="BS451" t="s">
        <v>7181</v>
      </c>
      <c r="BT451" t="str">
        <f>HYPERLINK("https%3A%2F%2Fwww.webofscience.com%2Fwos%2Fwoscc%2Ffull-record%2FWOS:000234678700033","View Full Record in Web of Science")</f>
        <v>View Full Record in Web of Science</v>
      </c>
    </row>
    <row r="452" spans="1:72" x14ac:dyDescent="0.15">
      <c r="A452" t="s">
        <v>72</v>
      </c>
      <c r="B452" t="s">
        <v>7182</v>
      </c>
      <c r="C452" t="s">
        <v>74</v>
      </c>
      <c r="D452" t="s">
        <v>74</v>
      </c>
      <c r="E452" t="s">
        <v>74</v>
      </c>
      <c r="F452" t="s">
        <v>7182</v>
      </c>
      <c r="G452" t="s">
        <v>74</v>
      </c>
      <c r="H452" t="s">
        <v>74</v>
      </c>
      <c r="I452" t="s">
        <v>7183</v>
      </c>
      <c r="J452" t="s">
        <v>7184</v>
      </c>
      <c r="K452" t="s">
        <v>74</v>
      </c>
      <c r="L452" t="s">
        <v>74</v>
      </c>
      <c r="M452" t="s">
        <v>77</v>
      </c>
      <c r="N452" t="s">
        <v>78</v>
      </c>
      <c r="O452" t="s">
        <v>74</v>
      </c>
      <c r="P452" t="s">
        <v>74</v>
      </c>
      <c r="Q452" t="s">
        <v>74</v>
      </c>
      <c r="R452" t="s">
        <v>74</v>
      </c>
      <c r="S452" t="s">
        <v>74</v>
      </c>
      <c r="T452" t="s">
        <v>7185</v>
      </c>
      <c r="U452" t="s">
        <v>7186</v>
      </c>
      <c r="V452" t="s">
        <v>7187</v>
      </c>
      <c r="W452" t="s">
        <v>7188</v>
      </c>
      <c r="X452" t="s">
        <v>7189</v>
      </c>
      <c r="Y452" t="s">
        <v>7190</v>
      </c>
      <c r="Z452" t="s">
        <v>7191</v>
      </c>
      <c r="AA452" t="s">
        <v>7192</v>
      </c>
      <c r="AB452" t="s">
        <v>7193</v>
      </c>
      <c r="AC452" t="s">
        <v>74</v>
      </c>
      <c r="AD452" t="s">
        <v>74</v>
      </c>
      <c r="AE452" t="s">
        <v>74</v>
      </c>
      <c r="AF452" t="s">
        <v>74</v>
      </c>
      <c r="AG452">
        <v>45</v>
      </c>
      <c r="AH452">
        <v>41</v>
      </c>
      <c r="AI452">
        <v>51</v>
      </c>
      <c r="AJ452">
        <v>3</v>
      </c>
      <c r="AK452">
        <v>23</v>
      </c>
      <c r="AL452" t="s">
        <v>622</v>
      </c>
      <c r="AM452" t="s">
        <v>140</v>
      </c>
      <c r="AN452" t="s">
        <v>623</v>
      </c>
      <c r="AO452" t="s">
        <v>7194</v>
      </c>
      <c r="AP452" t="s">
        <v>74</v>
      </c>
      <c r="AQ452" t="s">
        <v>74</v>
      </c>
      <c r="AR452" t="s">
        <v>7195</v>
      </c>
      <c r="AS452" t="s">
        <v>7196</v>
      </c>
      <c r="AT452" t="s">
        <v>5770</v>
      </c>
      <c r="AU452">
        <v>2005</v>
      </c>
      <c r="AV452">
        <v>37</v>
      </c>
      <c r="AW452">
        <v>12</v>
      </c>
      <c r="AX452" t="s">
        <v>74</v>
      </c>
      <c r="AY452" t="s">
        <v>74</v>
      </c>
      <c r="AZ452" t="s">
        <v>74</v>
      </c>
      <c r="BA452" t="s">
        <v>74</v>
      </c>
      <c r="BB452">
        <v>2205</v>
      </c>
      <c r="BC452">
        <v>2215</v>
      </c>
      <c r="BD452" t="s">
        <v>74</v>
      </c>
      <c r="BE452" t="s">
        <v>7197</v>
      </c>
      <c r="BF452" t="str">
        <f>HYPERLINK("http://dx.doi.org/10.1016/j.soilbio.2005.04.002","http://dx.doi.org/10.1016/j.soilbio.2005.04.002")</f>
        <v>http://dx.doi.org/10.1016/j.soilbio.2005.04.002</v>
      </c>
      <c r="BG452" t="s">
        <v>74</v>
      </c>
      <c r="BH452" t="s">
        <v>74</v>
      </c>
      <c r="BI452">
        <v>11</v>
      </c>
      <c r="BJ452" t="s">
        <v>7198</v>
      </c>
      <c r="BK452" t="s">
        <v>98</v>
      </c>
      <c r="BL452" t="s">
        <v>7199</v>
      </c>
      <c r="BM452" t="s">
        <v>7200</v>
      </c>
      <c r="BN452" t="s">
        <v>74</v>
      </c>
      <c r="BO452" t="s">
        <v>74</v>
      </c>
      <c r="BP452" t="s">
        <v>74</v>
      </c>
      <c r="BQ452" t="s">
        <v>74</v>
      </c>
      <c r="BR452" t="s">
        <v>101</v>
      </c>
      <c r="BS452" t="s">
        <v>7201</v>
      </c>
      <c r="BT452" t="str">
        <f>HYPERLINK("https%3A%2F%2Fwww.webofscience.com%2Fwos%2Fwoscc%2Ffull-record%2FWOS:000234327700005","View Full Record in Web of Science")</f>
        <v>View Full Record in Web of Science</v>
      </c>
    </row>
    <row r="453" spans="1:72" x14ac:dyDescent="0.15">
      <c r="A453" t="s">
        <v>72</v>
      </c>
      <c r="B453" t="s">
        <v>7202</v>
      </c>
      <c r="C453" t="s">
        <v>74</v>
      </c>
      <c r="D453" t="s">
        <v>74</v>
      </c>
      <c r="E453" t="s">
        <v>74</v>
      </c>
      <c r="F453" t="s">
        <v>7203</v>
      </c>
      <c r="G453" t="s">
        <v>74</v>
      </c>
      <c r="H453" t="s">
        <v>74</v>
      </c>
      <c r="I453" t="s">
        <v>7204</v>
      </c>
      <c r="J453" t="s">
        <v>7205</v>
      </c>
      <c r="K453" t="s">
        <v>74</v>
      </c>
      <c r="L453" t="s">
        <v>74</v>
      </c>
      <c r="M453" t="s">
        <v>77</v>
      </c>
      <c r="N453" t="s">
        <v>289</v>
      </c>
      <c r="O453" t="s">
        <v>74</v>
      </c>
      <c r="P453" t="s">
        <v>74</v>
      </c>
      <c r="Q453" t="s">
        <v>74</v>
      </c>
      <c r="R453" t="s">
        <v>74</v>
      </c>
      <c r="S453" t="s">
        <v>74</v>
      </c>
      <c r="T453" t="s">
        <v>74</v>
      </c>
      <c r="U453" t="s">
        <v>7206</v>
      </c>
      <c r="V453" t="s">
        <v>7207</v>
      </c>
      <c r="W453" t="s">
        <v>7208</v>
      </c>
      <c r="X453" t="s">
        <v>7209</v>
      </c>
      <c r="Y453" t="s">
        <v>7210</v>
      </c>
      <c r="Z453" t="s">
        <v>7211</v>
      </c>
      <c r="AA453" t="s">
        <v>74</v>
      </c>
      <c r="AB453" t="s">
        <v>74</v>
      </c>
      <c r="AC453" t="s">
        <v>74</v>
      </c>
      <c r="AD453" t="s">
        <v>74</v>
      </c>
      <c r="AE453" t="s">
        <v>74</v>
      </c>
      <c r="AF453" t="s">
        <v>74</v>
      </c>
      <c r="AG453">
        <v>143</v>
      </c>
      <c r="AH453">
        <v>62</v>
      </c>
      <c r="AI453">
        <v>71</v>
      </c>
      <c r="AJ453">
        <v>1</v>
      </c>
      <c r="AK453">
        <v>23</v>
      </c>
      <c r="AL453" t="s">
        <v>7212</v>
      </c>
      <c r="AM453" t="s">
        <v>7213</v>
      </c>
      <c r="AN453" t="s">
        <v>7214</v>
      </c>
      <c r="AO453" t="s">
        <v>7215</v>
      </c>
      <c r="AP453" t="s">
        <v>7216</v>
      </c>
      <c r="AQ453" t="s">
        <v>74</v>
      </c>
      <c r="AR453" t="s">
        <v>7217</v>
      </c>
      <c r="AS453" t="s">
        <v>7218</v>
      </c>
      <c r="AT453" t="s">
        <v>5770</v>
      </c>
      <c r="AU453">
        <v>2005</v>
      </c>
      <c r="AV453">
        <v>108</v>
      </c>
      <c r="AW453">
        <v>4</v>
      </c>
      <c r="AX453" t="s">
        <v>74</v>
      </c>
      <c r="AY453" t="s">
        <v>74</v>
      </c>
      <c r="AZ453" t="s">
        <v>74</v>
      </c>
      <c r="BA453" t="s">
        <v>74</v>
      </c>
      <c r="BB453">
        <v>557</v>
      </c>
      <c r="BC453">
        <v>577</v>
      </c>
      <c r="BD453" t="s">
        <v>74</v>
      </c>
      <c r="BE453" t="s">
        <v>7219</v>
      </c>
      <c r="BF453" t="str">
        <f>HYPERLINK("http://dx.doi.org/10.2113/108.4.557","http://dx.doi.org/10.2113/108.4.557")</f>
        <v>http://dx.doi.org/10.2113/108.4.557</v>
      </c>
      <c r="BG453" t="s">
        <v>74</v>
      </c>
      <c r="BH453" t="s">
        <v>74</v>
      </c>
      <c r="BI453">
        <v>21</v>
      </c>
      <c r="BJ453" t="s">
        <v>1130</v>
      </c>
      <c r="BK453" t="s">
        <v>98</v>
      </c>
      <c r="BL453" t="s">
        <v>1130</v>
      </c>
      <c r="BM453" t="s">
        <v>7220</v>
      </c>
      <c r="BN453" t="s">
        <v>74</v>
      </c>
      <c r="BO453" t="s">
        <v>74</v>
      </c>
      <c r="BP453" t="s">
        <v>74</v>
      </c>
      <c r="BQ453" t="s">
        <v>74</v>
      </c>
      <c r="BR453" t="s">
        <v>101</v>
      </c>
      <c r="BS453" t="s">
        <v>7221</v>
      </c>
      <c r="BT453" t="str">
        <f>HYPERLINK("https%3A%2F%2Fwww.webofscience.com%2Fwos%2Fwoscc%2Ffull-record%2FWOS:000237758500007","View Full Record in Web of Science")</f>
        <v>View Full Record in Web of Science</v>
      </c>
    </row>
    <row r="454" spans="1:72" x14ac:dyDescent="0.15">
      <c r="A454" t="s">
        <v>72</v>
      </c>
      <c r="B454" t="s">
        <v>7222</v>
      </c>
      <c r="C454" t="s">
        <v>74</v>
      </c>
      <c r="D454" t="s">
        <v>74</v>
      </c>
      <c r="E454" t="s">
        <v>74</v>
      </c>
      <c r="F454" t="s">
        <v>7223</v>
      </c>
      <c r="G454" t="s">
        <v>74</v>
      </c>
      <c r="H454" t="s">
        <v>74</v>
      </c>
      <c r="I454" t="s">
        <v>7224</v>
      </c>
      <c r="J454" t="s">
        <v>4801</v>
      </c>
      <c r="K454" t="s">
        <v>74</v>
      </c>
      <c r="L454" t="s">
        <v>74</v>
      </c>
      <c r="M454" t="s">
        <v>77</v>
      </c>
      <c r="N454" t="s">
        <v>289</v>
      </c>
      <c r="O454" t="s">
        <v>74</v>
      </c>
      <c r="P454" t="s">
        <v>74</v>
      </c>
      <c r="Q454" t="s">
        <v>74</v>
      </c>
      <c r="R454" t="s">
        <v>74</v>
      </c>
      <c r="S454" t="s">
        <v>74</v>
      </c>
      <c r="T454" t="s">
        <v>7225</v>
      </c>
      <c r="U454" t="s">
        <v>7226</v>
      </c>
      <c r="V454" t="s">
        <v>7227</v>
      </c>
      <c r="W454" t="s">
        <v>7228</v>
      </c>
      <c r="X454" t="s">
        <v>7229</v>
      </c>
      <c r="Y454" t="s">
        <v>7230</v>
      </c>
      <c r="Z454" t="s">
        <v>7231</v>
      </c>
      <c r="AA454" t="s">
        <v>7232</v>
      </c>
      <c r="AB454" t="s">
        <v>7233</v>
      </c>
      <c r="AC454" t="s">
        <v>7234</v>
      </c>
      <c r="AD454" t="s">
        <v>7235</v>
      </c>
      <c r="AE454" t="s">
        <v>74</v>
      </c>
      <c r="AF454" t="s">
        <v>74</v>
      </c>
      <c r="AG454">
        <v>37</v>
      </c>
      <c r="AH454">
        <v>37</v>
      </c>
      <c r="AI454">
        <v>37</v>
      </c>
      <c r="AJ454">
        <v>0</v>
      </c>
      <c r="AK454">
        <v>5</v>
      </c>
      <c r="AL454" t="s">
        <v>88</v>
      </c>
      <c r="AM454" t="s">
        <v>162</v>
      </c>
      <c r="AN454" t="s">
        <v>163</v>
      </c>
      <c r="AO454" t="s">
        <v>4811</v>
      </c>
      <c r="AP454" t="s">
        <v>4812</v>
      </c>
      <c r="AQ454" t="s">
        <v>74</v>
      </c>
      <c r="AR454" t="s">
        <v>4813</v>
      </c>
      <c r="AS454" t="s">
        <v>4814</v>
      </c>
      <c r="AT454" t="s">
        <v>5770</v>
      </c>
      <c r="AU454">
        <v>2005</v>
      </c>
      <c r="AV454">
        <v>121</v>
      </c>
      <c r="AW454" t="s">
        <v>4815</v>
      </c>
      <c r="AX454" t="s">
        <v>74</v>
      </c>
      <c r="AY454" t="s">
        <v>74</v>
      </c>
      <c r="AZ454" t="s">
        <v>74</v>
      </c>
      <c r="BA454" t="s">
        <v>74</v>
      </c>
      <c r="BB454">
        <v>271</v>
      </c>
      <c r="BC454">
        <v>284</v>
      </c>
      <c r="BD454" t="s">
        <v>74</v>
      </c>
      <c r="BE454" t="s">
        <v>7236</v>
      </c>
      <c r="BF454" t="str">
        <f>HYPERLINK("http://dx.doi.org/10.1007/s11214-006-4578-2","http://dx.doi.org/10.1007/s11214-006-4578-2")</f>
        <v>http://dx.doi.org/10.1007/s11214-006-4578-2</v>
      </c>
      <c r="BG454" t="s">
        <v>74</v>
      </c>
      <c r="BH454" t="s">
        <v>74</v>
      </c>
      <c r="BI454">
        <v>14</v>
      </c>
      <c r="BJ454" t="s">
        <v>4376</v>
      </c>
      <c r="BK454" t="s">
        <v>98</v>
      </c>
      <c r="BL454" t="s">
        <v>4376</v>
      </c>
      <c r="BM454" t="s">
        <v>7237</v>
      </c>
      <c r="BN454" t="s">
        <v>74</v>
      </c>
      <c r="BO454" t="s">
        <v>74</v>
      </c>
      <c r="BP454" t="s">
        <v>74</v>
      </c>
      <c r="BQ454" t="s">
        <v>74</v>
      </c>
      <c r="BR454" t="s">
        <v>101</v>
      </c>
      <c r="BS454" t="s">
        <v>7238</v>
      </c>
      <c r="BT454" t="str">
        <f>HYPERLINK("https%3A%2F%2Fwww.webofscience.com%2Fwos%2Fwoscc%2Ffull-record%2FWOS:000238021400022","View Full Record in Web of Science")</f>
        <v>View Full Record in Web of Science</v>
      </c>
    </row>
    <row r="455" spans="1:72" x14ac:dyDescent="0.15">
      <c r="A455" t="s">
        <v>72</v>
      </c>
      <c r="B455" t="s">
        <v>7239</v>
      </c>
      <c r="C455" t="s">
        <v>74</v>
      </c>
      <c r="D455" t="s">
        <v>74</v>
      </c>
      <c r="E455" t="s">
        <v>74</v>
      </c>
      <c r="F455" t="s">
        <v>7239</v>
      </c>
      <c r="G455" t="s">
        <v>74</v>
      </c>
      <c r="H455" t="s">
        <v>74</v>
      </c>
      <c r="I455" t="s">
        <v>7240</v>
      </c>
      <c r="J455" t="s">
        <v>7241</v>
      </c>
      <c r="K455" t="s">
        <v>74</v>
      </c>
      <c r="L455" t="s">
        <v>74</v>
      </c>
      <c r="M455" t="s">
        <v>77</v>
      </c>
      <c r="N455" t="s">
        <v>78</v>
      </c>
      <c r="O455" t="s">
        <v>74</v>
      </c>
      <c r="P455" t="s">
        <v>74</v>
      </c>
      <c r="Q455" t="s">
        <v>74</v>
      </c>
      <c r="R455" t="s">
        <v>74</v>
      </c>
      <c r="S455" t="s">
        <v>74</v>
      </c>
      <c r="T455" t="s">
        <v>74</v>
      </c>
      <c r="U455" t="s">
        <v>7242</v>
      </c>
      <c r="V455" t="s">
        <v>7243</v>
      </c>
      <c r="W455" t="s">
        <v>7244</v>
      </c>
      <c r="X455" t="s">
        <v>788</v>
      </c>
      <c r="Y455" t="s">
        <v>7245</v>
      </c>
      <c r="Z455" t="s">
        <v>7246</v>
      </c>
      <c r="AA455" t="s">
        <v>7247</v>
      </c>
      <c r="AB455" t="s">
        <v>7248</v>
      </c>
      <c r="AC455" t="s">
        <v>74</v>
      </c>
      <c r="AD455" t="s">
        <v>74</v>
      </c>
      <c r="AE455" t="s">
        <v>74</v>
      </c>
      <c r="AF455" t="s">
        <v>74</v>
      </c>
      <c r="AG455">
        <v>56</v>
      </c>
      <c r="AH455">
        <v>34</v>
      </c>
      <c r="AI455">
        <v>38</v>
      </c>
      <c r="AJ455">
        <v>0</v>
      </c>
      <c r="AK455">
        <v>3</v>
      </c>
      <c r="AL455" t="s">
        <v>2025</v>
      </c>
      <c r="AM455" t="s">
        <v>2026</v>
      </c>
      <c r="AN455" t="s">
        <v>2027</v>
      </c>
      <c r="AO455" t="s">
        <v>7249</v>
      </c>
      <c r="AP455" t="s">
        <v>7250</v>
      </c>
      <c r="AQ455" t="s">
        <v>74</v>
      </c>
      <c r="AR455" t="s">
        <v>7241</v>
      </c>
      <c r="AS455" t="s">
        <v>7251</v>
      </c>
      <c r="AT455" t="s">
        <v>5770</v>
      </c>
      <c r="AU455">
        <v>2005</v>
      </c>
      <c r="AV455">
        <v>17</v>
      </c>
      <c r="AW455">
        <v>6</v>
      </c>
      <c r="AX455" t="s">
        <v>74</v>
      </c>
      <c r="AY455" t="s">
        <v>74</v>
      </c>
      <c r="AZ455" t="s">
        <v>74</v>
      </c>
      <c r="BA455" t="s">
        <v>74</v>
      </c>
      <c r="BB455">
        <v>573</v>
      </c>
      <c r="BC455">
        <v>579</v>
      </c>
      <c r="BD455" t="s">
        <v>74</v>
      </c>
      <c r="BE455" t="s">
        <v>7252</v>
      </c>
      <c r="BF455" t="str">
        <f>HYPERLINK("http://dx.doi.org/10.1111/j.1365-3121.2005.00651.x","http://dx.doi.org/10.1111/j.1365-3121.2005.00651.x")</f>
        <v>http://dx.doi.org/10.1111/j.1365-3121.2005.00651.x</v>
      </c>
      <c r="BG455" t="s">
        <v>74</v>
      </c>
      <c r="BH455" t="s">
        <v>74</v>
      </c>
      <c r="BI455">
        <v>7</v>
      </c>
      <c r="BJ455" t="s">
        <v>1129</v>
      </c>
      <c r="BK455" t="s">
        <v>98</v>
      </c>
      <c r="BL455" t="s">
        <v>1130</v>
      </c>
      <c r="BM455" t="s">
        <v>7253</v>
      </c>
      <c r="BN455" t="s">
        <v>74</v>
      </c>
      <c r="BO455" t="s">
        <v>74</v>
      </c>
      <c r="BP455" t="s">
        <v>74</v>
      </c>
      <c r="BQ455" t="s">
        <v>74</v>
      </c>
      <c r="BR455" t="s">
        <v>101</v>
      </c>
      <c r="BS455" t="s">
        <v>7254</v>
      </c>
      <c r="BT455" t="str">
        <f>HYPERLINK("https%3A%2F%2Fwww.webofscience.com%2Fwos%2Fwoscc%2Ffull-record%2FWOS:000233519800011","View Full Record in Web of Science")</f>
        <v>View Full Record in Web of Science</v>
      </c>
    </row>
    <row r="456" spans="1:72" x14ac:dyDescent="0.15">
      <c r="A456" t="s">
        <v>72</v>
      </c>
      <c r="B456" t="s">
        <v>7255</v>
      </c>
      <c r="C456" t="s">
        <v>74</v>
      </c>
      <c r="D456" t="s">
        <v>74</v>
      </c>
      <c r="E456" t="s">
        <v>74</v>
      </c>
      <c r="F456" t="s">
        <v>7255</v>
      </c>
      <c r="G456" t="s">
        <v>74</v>
      </c>
      <c r="H456" t="s">
        <v>74</v>
      </c>
      <c r="I456" t="s">
        <v>7256</v>
      </c>
      <c r="J456" t="s">
        <v>7257</v>
      </c>
      <c r="K456" t="s">
        <v>74</v>
      </c>
      <c r="L456" t="s">
        <v>74</v>
      </c>
      <c r="M456" t="s">
        <v>77</v>
      </c>
      <c r="N456" t="s">
        <v>289</v>
      </c>
      <c r="O456" t="s">
        <v>74</v>
      </c>
      <c r="P456" t="s">
        <v>74</v>
      </c>
      <c r="Q456" t="s">
        <v>74</v>
      </c>
      <c r="R456" t="s">
        <v>74</v>
      </c>
      <c r="S456" t="s">
        <v>74</v>
      </c>
      <c r="T456" t="s">
        <v>7258</v>
      </c>
      <c r="U456" t="s">
        <v>7259</v>
      </c>
      <c r="V456" t="s">
        <v>7260</v>
      </c>
      <c r="W456" t="s">
        <v>7261</v>
      </c>
      <c r="X456" t="s">
        <v>3236</v>
      </c>
      <c r="Y456" t="s">
        <v>7262</v>
      </c>
      <c r="Z456" t="s">
        <v>7263</v>
      </c>
      <c r="AA456" t="s">
        <v>74</v>
      </c>
      <c r="AB456" t="s">
        <v>74</v>
      </c>
      <c r="AC456" t="s">
        <v>74</v>
      </c>
      <c r="AD456" t="s">
        <v>74</v>
      </c>
      <c r="AE456" t="s">
        <v>74</v>
      </c>
      <c r="AF456" t="s">
        <v>74</v>
      </c>
      <c r="AG456">
        <v>482</v>
      </c>
      <c r="AH456">
        <v>134</v>
      </c>
      <c r="AI456">
        <v>143</v>
      </c>
      <c r="AJ456">
        <v>0</v>
      </c>
      <c r="AK456">
        <v>75</v>
      </c>
      <c r="AL456" t="s">
        <v>1891</v>
      </c>
      <c r="AM456" t="s">
        <v>140</v>
      </c>
      <c r="AN456" t="s">
        <v>1892</v>
      </c>
      <c r="AO456" t="s">
        <v>7264</v>
      </c>
      <c r="AP456" t="s">
        <v>7265</v>
      </c>
      <c r="AQ456" t="s">
        <v>74</v>
      </c>
      <c r="AR456" t="s">
        <v>7266</v>
      </c>
      <c r="AS456" t="s">
        <v>7267</v>
      </c>
      <c r="AT456" t="s">
        <v>5770</v>
      </c>
      <c r="AU456">
        <v>2005</v>
      </c>
      <c r="AV456">
        <v>145</v>
      </c>
      <c r="AW456">
        <v>4</v>
      </c>
      <c r="AX456" t="s">
        <v>74</v>
      </c>
      <c r="AY456" t="s">
        <v>74</v>
      </c>
      <c r="AZ456" t="s">
        <v>74</v>
      </c>
      <c r="BA456" t="s">
        <v>74</v>
      </c>
      <c r="BB456">
        <v>445</v>
      </c>
      <c r="BC456">
        <v>522</v>
      </c>
      <c r="BD456" t="s">
        <v>74</v>
      </c>
      <c r="BE456" t="s">
        <v>7268</v>
      </c>
      <c r="BF456" t="str">
        <f>HYPERLINK("http://dx.doi.org/10.1111/j.1096-3642.2005.00178.x","http://dx.doi.org/10.1111/j.1096-3642.2005.00178.x")</f>
        <v>http://dx.doi.org/10.1111/j.1096-3642.2005.00178.x</v>
      </c>
      <c r="BG456" t="s">
        <v>74</v>
      </c>
      <c r="BH456" t="s">
        <v>74</v>
      </c>
      <c r="BI456">
        <v>78</v>
      </c>
      <c r="BJ456" t="s">
        <v>532</v>
      </c>
      <c r="BK456" t="s">
        <v>98</v>
      </c>
      <c r="BL456" t="s">
        <v>532</v>
      </c>
      <c r="BM456" t="s">
        <v>7269</v>
      </c>
      <c r="BN456" t="s">
        <v>74</v>
      </c>
      <c r="BO456" t="s">
        <v>7270</v>
      </c>
      <c r="BP456" t="s">
        <v>74</v>
      </c>
      <c r="BQ456" t="s">
        <v>74</v>
      </c>
      <c r="BR456" t="s">
        <v>101</v>
      </c>
      <c r="BS456" t="s">
        <v>7271</v>
      </c>
      <c r="BT456" t="str">
        <f>HYPERLINK("https%3A%2F%2Fwww.webofscience.com%2Fwos%2Fwoscc%2Ffull-record%2FWOS:000233530800001","View Full Record in Web of Science")</f>
        <v>View Full Record in Web of Science</v>
      </c>
    </row>
    <row r="457" spans="1:72" x14ac:dyDescent="0.15">
      <c r="A457" t="s">
        <v>72</v>
      </c>
      <c r="B457" t="s">
        <v>7272</v>
      </c>
      <c r="C457" t="s">
        <v>74</v>
      </c>
      <c r="D457" t="s">
        <v>74</v>
      </c>
      <c r="E457" t="s">
        <v>74</v>
      </c>
      <c r="F457" t="s">
        <v>7272</v>
      </c>
      <c r="G457" t="s">
        <v>74</v>
      </c>
      <c r="H457" t="s">
        <v>74</v>
      </c>
      <c r="I457" t="s">
        <v>7273</v>
      </c>
      <c r="J457" t="s">
        <v>7274</v>
      </c>
      <c r="K457" t="s">
        <v>74</v>
      </c>
      <c r="L457" t="s">
        <v>74</v>
      </c>
      <c r="M457" t="s">
        <v>77</v>
      </c>
      <c r="N457" t="s">
        <v>78</v>
      </c>
      <c r="O457" t="s">
        <v>74</v>
      </c>
      <c r="P457" t="s">
        <v>74</v>
      </c>
      <c r="Q457" t="s">
        <v>74</v>
      </c>
      <c r="R457" t="s">
        <v>74</v>
      </c>
      <c r="S457" t="s">
        <v>74</v>
      </c>
      <c r="T457" t="s">
        <v>7275</v>
      </c>
      <c r="U457" t="s">
        <v>7276</v>
      </c>
      <c r="V457" t="s">
        <v>7277</v>
      </c>
      <c r="W457" t="s">
        <v>7278</v>
      </c>
      <c r="X457" t="s">
        <v>5925</v>
      </c>
      <c r="Y457" t="s">
        <v>7279</v>
      </c>
      <c r="Z457" t="s">
        <v>74</v>
      </c>
      <c r="AA457" t="s">
        <v>74</v>
      </c>
      <c r="AB457" t="s">
        <v>7280</v>
      </c>
      <c r="AC457" t="s">
        <v>74</v>
      </c>
      <c r="AD457" t="s">
        <v>74</v>
      </c>
      <c r="AE457" t="s">
        <v>74</v>
      </c>
      <c r="AF457" t="s">
        <v>74</v>
      </c>
      <c r="AG457">
        <v>42</v>
      </c>
      <c r="AH457">
        <v>10</v>
      </c>
      <c r="AI457">
        <v>11</v>
      </c>
      <c r="AJ457">
        <v>0</v>
      </c>
      <c r="AK457">
        <v>12</v>
      </c>
      <c r="AL457" t="s">
        <v>7281</v>
      </c>
      <c r="AM457" t="s">
        <v>7282</v>
      </c>
      <c r="AN457" t="s">
        <v>7283</v>
      </c>
      <c r="AO457" t="s">
        <v>7284</v>
      </c>
      <c r="AP457" t="s">
        <v>74</v>
      </c>
      <c r="AQ457" t="s">
        <v>74</v>
      </c>
      <c r="AR457" t="s">
        <v>7285</v>
      </c>
      <c r="AS457" t="s">
        <v>7286</v>
      </c>
      <c r="AT457" t="s">
        <v>7287</v>
      </c>
      <c r="AU457">
        <v>2005</v>
      </c>
      <c r="AV457">
        <v>129</v>
      </c>
      <c r="AW457" t="s">
        <v>74</v>
      </c>
      <c r="AX457">
        <v>2</v>
      </c>
      <c r="AY457" t="s">
        <v>74</v>
      </c>
      <c r="AZ457" t="s">
        <v>74</v>
      </c>
      <c r="BA457" t="s">
        <v>74</v>
      </c>
      <c r="BB457">
        <v>209</v>
      </c>
      <c r="BC457">
        <v>216</v>
      </c>
      <c r="BD457" t="s">
        <v>74</v>
      </c>
      <c r="BE457" t="s">
        <v>74</v>
      </c>
      <c r="BF457" t="s">
        <v>74</v>
      </c>
      <c r="BG457" t="s">
        <v>74</v>
      </c>
      <c r="BH457" t="s">
        <v>74</v>
      </c>
      <c r="BI457">
        <v>8</v>
      </c>
      <c r="BJ457" t="s">
        <v>3495</v>
      </c>
      <c r="BK457" t="s">
        <v>98</v>
      </c>
      <c r="BL457" t="s">
        <v>3496</v>
      </c>
      <c r="BM457" t="s">
        <v>7288</v>
      </c>
      <c r="BN457" t="s">
        <v>74</v>
      </c>
      <c r="BO457" t="s">
        <v>74</v>
      </c>
      <c r="BP457" t="s">
        <v>74</v>
      </c>
      <c r="BQ457" t="s">
        <v>74</v>
      </c>
      <c r="BR457" t="s">
        <v>101</v>
      </c>
      <c r="BS457" t="s">
        <v>7289</v>
      </c>
      <c r="BT457" t="str">
        <f>HYPERLINK("https%3A%2F%2Fwww.webofscience.com%2Fwos%2Fwoscc%2Ffull-record%2FWOS:000233705200014","View Full Record in Web of Science")</f>
        <v>View Full Record in Web of Science</v>
      </c>
    </row>
    <row r="458" spans="1:72" x14ac:dyDescent="0.15">
      <c r="A458" t="s">
        <v>72</v>
      </c>
      <c r="B458" t="s">
        <v>7290</v>
      </c>
      <c r="C458" t="s">
        <v>74</v>
      </c>
      <c r="D458" t="s">
        <v>74</v>
      </c>
      <c r="E458" t="s">
        <v>74</v>
      </c>
      <c r="F458" t="s">
        <v>7290</v>
      </c>
      <c r="G458" t="s">
        <v>74</v>
      </c>
      <c r="H458" t="s">
        <v>74</v>
      </c>
      <c r="I458" t="s">
        <v>7291</v>
      </c>
      <c r="J458" t="s">
        <v>7292</v>
      </c>
      <c r="K458" t="s">
        <v>74</v>
      </c>
      <c r="L458" t="s">
        <v>74</v>
      </c>
      <c r="M458" t="s">
        <v>77</v>
      </c>
      <c r="N458" t="s">
        <v>78</v>
      </c>
      <c r="O458" t="s">
        <v>74</v>
      </c>
      <c r="P458" t="s">
        <v>74</v>
      </c>
      <c r="Q458" t="s">
        <v>74</v>
      </c>
      <c r="R458" t="s">
        <v>74</v>
      </c>
      <c r="S458" t="s">
        <v>74</v>
      </c>
      <c r="T458" t="s">
        <v>74</v>
      </c>
      <c r="U458" t="s">
        <v>7293</v>
      </c>
      <c r="V458" t="s">
        <v>7294</v>
      </c>
      <c r="W458" t="s">
        <v>7295</v>
      </c>
      <c r="X458" t="s">
        <v>7296</v>
      </c>
      <c r="Y458" t="s">
        <v>7297</v>
      </c>
      <c r="Z458" t="s">
        <v>7298</v>
      </c>
      <c r="AA458" t="s">
        <v>74</v>
      </c>
      <c r="AB458" t="s">
        <v>74</v>
      </c>
      <c r="AC458" t="s">
        <v>74</v>
      </c>
      <c r="AD458" t="s">
        <v>74</v>
      </c>
      <c r="AE458" t="s">
        <v>74</v>
      </c>
      <c r="AF458" t="s">
        <v>74</v>
      </c>
      <c r="AG458">
        <v>78</v>
      </c>
      <c r="AH458">
        <v>29</v>
      </c>
      <c r="AI458">
        <v>33</v>
      </c>
      <c r="AJ458">
        <v>0</v>
      </c>
      <c r="AK458">
        <v>3</v>
      </c>
      <c r="AL458" t="s">
        <v>7299</v>
      </c>
      <c r="AM458" t="s">
        <v>7300</v>
      </c>
      <c r="AN458" t="s">
        <v>7301</v>
      </c>
      <c r="AO458" t="s">
        <v>7302</v>
      </c>
      <c r="AP458" t="s">
        <v>74</v>
      </c>
      <c r="AQ458" t="s">
        <v>74</v>
      </c>
      <c r="AR458" t="s">
        <v>7292</v>
      </c>
      <c r="AS458" t="s">
        <v>7303</v>
      </c>
      <c r="AT458" t="s">
        <v>7287</v>
      </c>
      <c r="AU458">
        <v>2005</v>
      </c>
      <c r="AV458">
        <v>47</v>
      </c>
      <c r="AW458">
        <v>4</v>
      </c>
      <c r="AX458" t="s">
        <v>74</v>
      </c>
      <c r="AY458" t="s">
        <v>74</v>
      </c>
      <c r="AZ458" t="s">
        <v>74</v>
      </c>
      <c r="BA458" t="s">
        <v>74</v>
      </c>
      <c r="BB458">
        <v>225</v>
      </c>
      <c r="BC458">
        <v>258</v>
      </c>
      <c r="BD458" t="s">
        <v>74</v>
      </c>
      <c r="BE458" t="s">
        <v>74</v>
      </c>
      <c r="BF458" t="s">
        <v>74</v>
      </c>
      <c r="BG458" t="s">
        <v>74</v>
      </c>
      <c r="BH458" t="s">
        <v>74</v>
      </c>
      <c r="BI458">
        <v>34</v>
      </c>
      <c r="BJ458" t="s">
        <v>3205</v>
      </c>
      <c r="BK458" t="s">
        <v>98</v>
      </c>
      <c r="BL458" t="s">
        <v>3205</v>
      </c>
      <c r="BM458" t="s">
        <v>7304</v>
      </c>
      <c r="BN458" t="s">
        <v>74</v>
      </c>
      <c r="BO458" t="s">
        <v>74</v>
      </c>
      <c r="BP458" t="s">
        <v>74</v>
      </c>
      <c r="BQ458" t="s">
        <v>74</v>
      </c>
      <c r="BR458" t="s">
        <v>101</v>
      </c>
      <c r="BS458" t="s">
        <v>7305</v>
      </c>
      <c r="BT458" t="str">
        <f>HYPERLINK("https%3A%2F%2Fwww.webofscience.com%2Fwos%2Fwoscc%2Ffull-record%2FWOS:000233733900001","View Full Record in Web of Science")</f>
        <v>View Full Record in Web of Science</v>
      </c>
    </row>
    <row r="459" spans="1:72" x14ac:dyDescent="0.15">
      <c r="A459" t="s">
        <v>72</v>
      </c>
      <c r="B459" t="s">
        <v>7306</v>
      </c>
      <c r="C459" t="s">
        <v>74</v>
      </c>
      <c r="D459" t="s">
        <v>74</v>
      </c>
      <c r="E459" t="s">
        <v>74</v>
      </c>
      <c r="F459" t="s">
        <v>7306</v>
      </c>
      <c r="G459" t="s">
        <v>74</v>
      </c>
      <c r="H459" t="s">
        <v>74</v>
      </c>
      <c r="I459" t="s">
        <v>7307</v>
      </c>
      <c r="J459" t="s">
        <v>5063</v>
      </c>
      <c r="K459" t="s">
        <v>74</v>
      </c>
      <c r="L459" t="s">
        <v>74</v>
      </c>
      <c r="M459" t="s">
        <v>77</v>
      </c>
      <c r="N459" t="s">
        <v>78</v>
      </c>
      <c r="O459" t="s">
        <v>74</v>
      </c>
      <c r="P459" t="s">
        <v>74</v>
      </c>
      <c r="Q459" t="s">
        <v>74</v>
      </c>
      <c r="R459" t="s">
        <v>74</v>
      </c>
      <c r="S459" t="s">
        <v>74</v>
      </c>
      <c r="T459" t="s">
        <v>74</v>
      </c>
      <c r="U459" t="s">
        <v>7308</v>
      </c>
      <c r="V459" t="s">
        <v>7309</v>
      </c>
      <c r="W459" t="s">
        <v>7310</v>
      </c>
      <c r="X459" t="s">
        <v>7311</v>
      </c>
      <c r="Y459" t="s">
        <v>7312</v>
      </c>
      <c r="Z459" t="s">
        <v>7313</v>
      </c>
      <c r="AA459" t="s">
        <v>74</v>
      </c>
      <c r="AB459" t="s">
        <v>74</v>
      </c>
      <c r="AC459" t="s">
        <v>74</v>
      </c>
      <c r="AD459" t="s">
        <v>74</v>
      </c>
      <c r="AE459" t="s">
        <v>74</v>
      </c>
      <c r="AF459" t="s">
        <v>74</v>
      </c>
      <c r="AG459">
        <v>26</v>
      </c>
      <c r="AH459">
        <v>3</v>
      </c>
      <c r="AI459">
        <v>3</v>
      </c>
      <c r="AJ459">
        <v>0</v>
      </c>
      <c r="AK459">
        <v>1</v>
      </c>
      <c r="AL459" t="s">
        <v>4487</v>
      </c>
      <c r="AM459" t="s">
        <v>2541</v>
      </c>
      <c r="AN459" t="s">
        <v>4488</v>
      </c>
      <c r="AO459" t="s">
        <v>5072</v>
      </c>
      <c r="AP459" t="s">
        <v>74</v>
      </c>
      <c r="AQ459" t="s">
        <v>74</v>
      </c>
      <c r="AR459" t="s">
        <v>5074</v>
      </c>
      <c r="AS459" t="s">
        <v>5075</v>
      </c>
      <c r="AT459" t="s">
        <v>7314</v>
      </c>
      <c r="AU459">
        <v>2005</v>
      </c>
      <c r="AV459">
        <v>110</v>
      </c>
      <c r="AW459" t="s">
        <v>7315</v>
      </c>
      <c r="AX459" t="s">
        <v>74</v>
      </c>
      <c r="AY459" t="s">
        <v>74</v>
      </c>
      <c r="AZ459" t="s">
        <v>74</v>
      </c>
      <c r="BA459" t="s">
        <v>74</v>
      </c>
      <c r="BB459" t="s">
        <v>74</v>
      </c>
      <c r="BC459" t="s">
        <v>74</v>
      </c>
      <c r="BD459" t="s">
        <v>7316</v>
      </c>
      <c r="BE459" t="s">
        <v>7317</v>
      </c>
      <c r="BF459" t="str">
        <f>HYPERLINK("http://dx.doi.org/10.1029/2005JD006073","http://dx.doi.org/10.1029/2005JD006073")</f>
        <v>http://dx.doi.org/10.1029/2005JD006073</v>
      </c>
      <c r="BG459" t="s">
        <v>74</v>
      </c>
      <c r="BH459" t="s">
        <v>74</v>
      </c>
      <c r="BI459">
        <v>10</v>
      </c>
      <c r="BJ459" t="s">
        <v>2033</v>
      </c>
      <c r="BK459" t="s">
        <v>98</v>
      </c>
      <c r="BL459" t="s">
        <v>2033</v>
      </c>
      <c r="BM459" t="s">
        <v>7318</v>
      </c>
      <c r="BN459" t="s">
        <v>74</v>
      </c>
      <c r="BO459" t="s">
        <v>722</v>
      </c>
      <c r="BP459" t="s">
        <v>74</v>
      </c>
      <c r="BQ459" t="s">
        <v>74</v>
      </c>
      <c r="BR459" t="s">
        <v>101</v>
      </c>
      <c r="BS459" t="s">
        <v>7319</v>
      </c>
      <c r="BT459" t="str">
        <f>HYPERLINK("https%3A%2F%2Fwww.webofscience.com%2Fwos%2Fwoscc%2Ffull-record%2FWOS:000233936200004","View Full Record in Web of Science")</f>
        <v>View Full Record in Web of Science</v>
      </c>
    </row>
    <row r="460" spans="1:72" x14ac:dyDescent="0.15">
      <c r="A460" t="s">
        <v>72</v>
      </c>
      <c r="B460" t="s">
        <v>7320</v>
      </c>
      <c r="C460" t="s">
        <v>74</v>
      </c>
      <c r="D460" t="s">
        <v>74</v>
      </c>
      <c r="E460" t="s">
        <v>74</v>
      </c>
      <c r="F460" t="s">
        <v>7320</v>
      </c>
      <c r="G460" t="s">
        <v>74</v>
      </c>
      <c r="H460" t="s">
        <v>74</v>
      </c>
      <c r="I460" t="s">
        <v>7321</v>
      </c>
      <c r="J460" t="s">
        <v>5477</v>
      </c>
      <c r="K460" t="s">
        <v>74</v>
      </c>
      <c r="L460" t="s">
        <v>74</v>
      </c>
      <c r="M460" t="s">
        <v>77</v>
      </c>
      <c r="N460" t="s">
        <v>78</v>
      </c>
      <c r="O460" t="s">
        <v>74</v>
      </c>
      <c r="P460" t="s">
        <v>74</v>
      </c>
      <c r="Q460" t="s">
        <v>74</v>
      </c>
      <c r="R460" t="s">
        <v>74</v>
      </c>
      <c r="S460" t="s">
        <v>74</v>
      </c>
      <c r="T460" t="s">
        <v>7322</v>
      </c>
      <c r="U460" t="s">
        <v>7323</v>
      </c>
      <c r="V460" t="s">
        <v>7324</v>
      </c>
      <c r="W460" t="s">
        <v>7325</v>
      </c>
      <c r="X460" t="s">
        <v>3176</v>
      </c>
      <c r="Y460" t="s">
        <v>7326</v>
      </c>
      <c r="Z460" t="s">
        <v>7327</v>
      </c>
      <c r="AA460" t="s">
        <v>74</v>
      </c>
      <c r="AB460" t="s">
        <v>74</v>
      </c>
      <c r="AC460" t="s">
        <v>74</v>
      </c>
      <c r="AD460" t="s">
        <v>74</v>
      </c>
      <c r="AE460" t="s">
        <v>74</v>
      </c>
      <c r="AF460" t="s">
        <v>74</v>
      </c>
      <c r="AG460">
        <v>19</v>
      </c>
      <c r="AH460">
        <v>0</v>
      </c>
      <c r="AI460">
        <v>1</v>
      </c>
      <c r="AJ460">
        <v>0</v>
      </c>
      <c r="AK460">
        <v>6</v>
      </c>
      <c r="AL460" t="s">
        <v>7328</v>
      </c>
      <c r="AM460" t="s">
        <v>5486</v>
      </c>
      <c r="AN460" t="s">
        <v>7329</v>
      </c>
      <c r="AO460" t="s">
        <v>5488</v>
      </c>
      <c r="AP460" t="s">
        <v>74</v>
      </c>
      <c r="AQ460" t="s">
        <v>74</v>
      </c>
      <c r="AR460" t="s">
        <v>5489</v>
      </c>
      <c r="AS460" t="s">
        <v>5490</v>
      </c>
      <c r="AT460" t="s">
        <v>7330</v>
      </c>
      <c r="AU460">
        <v>2005</v>
      </c>
      <c r="AV460">
        <v>89</v>
      </c>
      <c r="AW460">
        <v>10</v>
      </c>
      <c r="AX460" t="s">
        <v>74</v>
      </c>
      <c r="AY460" t="s">
        <v>74</v>
      </c>
      <c r="AZ460" t="s">
        <v>74</v>
      </c>
      <c r="BA460" t="s">
        <v>74</v>
      </c>
      <c r="BB460">
        <v>1749</v>
      </c>
      <c r="BC460">
        <v>1753</v>
      </c>
      <c r="BD460" t="s">
        <v>74</v>
      </c>
      <c r="BE460" t="s">
        <v>74</v>
      </c>
      <c r="BF460" t="s">
        <v>74</v>
      </c>
      <c r="BG460" t="s">
        <v>74</v>
      </c>
      <c r="BH460" t="s">
        <v>74</v>
      </c>
      <c r="BI460">
        <v>5</v>
      </c>
      <c r="BJ460" t="s">
        <v>3495</v>
      </c>
      <c r="BK460" t="s">
        <v>98</v>
      </c>
      <c r="BL460" t="s">
        <v>3496</v>
      </c>
      <c r="BM460" t="s">
        <v>7331</v>
      </c>
      <c r="BN460" t="s">
        <v>74</v>
      </c>
      <c r="BO460" t="s">
        <v>74</v>
      </c>
      <c r="BP460" t="s">
        <v>74</v>
      </c>
      <c r="BQ460" t="s">
        <v>74</v>
      </c>
      <c r="BR460" t="s">
        <v>101</v>
      </c>
      <c r="BS460" t="s">
        <v>7332</v>
      </c>
      <c r="BT460" t="str">
        <f>HYPERLINK("https%3A%2F%2Fwww.webofscience.com%2Fwos%2Fwoscc%2Ffull-record%2FWOS:000233736400025","View Full Record in Web of Science")</f>
        <v>View Full Record in Web of Science</v>
      </c>
    </row>
    <row r="461" spans="1:72" x14ac:dyDescent="0.15">
      <c r="A461" t="s">
        <v>72</v>
      </c>
      <c r="B461" t="s">
        <v>7333</v>
      </c>
      <c r="C461" t="s">
        <v>74</v>
      </c>
      <c r="D461" t="s">
        <v>74</v>
      </c>
      <c r="E461" t="s">
        <v>74</v>
      </c>
      <c r="F461" t="s">
        <v>7333</v>
      </c>
      <c r="G461" t="s">
        <v>74</v>
      </c>
      <c r="H461" t="s">
        <v>74</v>
      </c>
      <c r="I461" t="s">
        <v>7334</v>
      </c>
      <c r="J461" t="s">
        <v>7335</v>
      </c>
      <c r="K461" t="s">
        <v>74</v>
      </c>
      <c r="L461" t="s">
        <v>74</v>
      </c>
      <c r="M461" t="s">
        <v>77</v>
      </c>
      <c r="N461" t="s">
        <v>78</v>
      </c>
      <c r="O461" t="s">
        <v>74</v>
      </c>
      <c r="P461" t="s">
        <v>74</v>
      </c>
      <c r="Q461" t="s">
        <v>74</v>
      </c>
      <c r="R461" t="s">
        <v>74</v>
      </c>
      <c r="S461" t="s">
        <v>74</v>
      </c>
      <c r="T461" t="s">
        <v>7336</v>
      </c>
      <c r="U461" t="s">
        <v>7337</v>
      </c>
      <c r="V461" t="s">
        <v>7338</v>
      </c>
      <c r="W461" t="s">
        <v>7339</v>
      </c>
      <c r="X461" t="s">
        <v>2640</v>
      </c>
      <c r="Y461" t="s">
        <v>7340</v>
      </c>
      <c r="Z461" t="s">
        <v>7341</v>
      </c>
      <c r="AA461" t="s">
        <v>7342</v>
      </c>
      <c r="AB461" t="s">
        <v>7343</v>
      </c>
      <c r="AC461" t="s">
        <v>74</v>
      </c>
      <c r="AD461" t="s">
        <v>74</v>
      </c>
      <c r="AE461" t="s">
        <v>74</v>
      </c>
      <c r="AF461" t="s">
        <v>74</v>
      </c>
      <c r="AG461">
        <v>82</v>
      </c>
      <c r="AH461">
        <v>28</v>
      </c>
      <c r="AI461">
        <v>33</v>
      </c>
      <c r="AJ461">
        <v>0</v>
      </c>
      <c r="AK461">
        <v>25</v>
      </c>
      <c r="AL461" t="s">
        <v>3283</v>
      </c>
      <c r="AM461" t="s">
        <v>1148</v>
      </c>
      <c r="AN461" t="s">
        <v>3284</v>
      </c>
      <c r="AO461" t="s">
        <v>7344</v>
      </c>
      <c r="AP461" t="s">
        <v>7345</v>
      </c>
      <c r="AQ461" t="s">
        <v>74</v>
      </c>
      <c r="AR461" t="s">
        <v>7346</v>
      </c>
      <c r="AS461" t="s">
        <v>7347</v>
      </c>
      <c r="AT461" t="s">
        <v>7330</v>
      </c>
      <c r="AU461">
        <v>2005</v>
      </c>
      <c r="AV461">
        <v>189</v>
      </c>
      <c r="AW461" t="s">
        <v>485</v>
      </c>
      <c r="AX461" t="s">
        <v>74</v>
      </c>
      <c r="AY461" t="s">
        <v>74</v>
      </c>
      <c r="AZ461" t="s">
        <v>74</v>
      </c>
      <c r="BA461" t="s">
        <v>74</v>
      </c>
      <c r="BB461">
        <v>105</v>
      </c>
      <c r="BC461">
        <v>129</v>
      </c>
      <c r="BD461" t="s">
        <v>74</v>
      </c>
      <c r="BE461" t="s">
        <v>7348</v>
      </c>
      <c r="BF461" t="str">
        <f>HYPERLINK("http://dx.doi.org/10.1016/j.ecolmodel.2005.04.009","http://dx.doi.org/10.1016/j.ecolmodel.2005.04.009")</f>
        <v>http://dx.doi.org/10.1016/j.ecolmodel.2005.04.009</v>
      </c>
      <c r="BG461" t="s">
        <v>74</v>
      </c>
      <c r="BH461" t="s">
        <v>74</v>
      </c>
      <c r="BI461">
        <v>25</v>
      </c>
      <c r="BJ461" t="s">
        <v>1154</v>
      </c>
      <c r="BK461" t="s">
        <v>98</v>
      </c>
      <c r="BL461" t="s">
        <v>1155</v>
      </c>
      <c r="BM461" t="s">
        <v>7349</v>
      </c>
      <c r="BN461" t="s">
        <v>74</v>
      </c>
      <c r="BO461" t="s">
        <v>74</v>
      </c>
      <c r="BP461" t="s">
        <v>74</v>
      </c>
      <c r="BQ461" t="s">
        <v>74</v>
      </c>
      <c r="BR461" t="s">
        <v>101</v>
      </c>
      <c r="BS461" t="s">
        <v>7350</v>
      </c>
      <c r="BT461" t="str">
        <f>HYPERLINK("https%3A%2F%2Fwww.webofscience.com%2Fwos%2Fwoscc%2Ffull-record%2FWOS:000233374300006","View Full Record in Web of Science")</f>
        <v>View Full Record in Web of Science</v>
      </c>
    </row>
    <row r="462" spans="1:72" x14ac:dyDescent="0.15">
      <c r="A462" t="s">
        <v>72</v>
      </c>
      <c r="B462" t="s">
        <v>7351</v>
      </c>
      <c r="C462" t="s">
        <v>74</v>
      </c>
      <c r="D462" t="s">
        <v>74</v>
      </c>
      <c r="E462" t="s">
        <v>74</v>
      </c>
      <c r="F462" t="s">
        <v>7351</v>
      </c>
      <c r="G462" t="s">
        <v>74</v>
      </c>
      <c r="H462" t="s">
        <v>74</v>
      </c>
      <c r="I462" t="s">
        <v>7352</v>
      </c>
      <c r="J462" t="s">
        <v>6088</v>
      </c>
      <c r="K462" t="s">
        <v>74</v>
      </c>
      <c r="L462" t="s">
        <v>74</v>
      </c>
      <c r="M462" t="s">
        <v>77</v>
      </c>
      <c r="N462" t="s">
        <v>289</v>
      </c>
      <c r="O462" t="s">
        <v>74</v>
      </c>
      <c r="P462" t="s">
        <v>74</v>
      </c>
      <c r="Q462" t="s">
        <v>74</v>
      </c>
      <c r="R462" t="s">
        <v>74</v>
      </c>
      <c r="S462" t="s">
        <v>74</v>
      </c>
      <c r="T462" t="s">
        <v>74</v>
      </c>
      <c r="U462" t="s">
        <v>7353</v>
      </c>
      <c r="V462" t="s">
        <v>7354</v>
      </c>
      <c r="W462" t="s">
        <v>7355</v>
      </c>
      <c r="X462" t="s">
        <v>7356</v>
      </c>
      <c r="Y462" t="s">
        <v>7357</v>
      </c>
      <c r="Z462" t="s">
        <v>7358</v>
      </c>
      <c r="AA462" t="s">
        <v>7359</v>
      </c>
      <c r="AB462" t="s">
        <v>7360</v>
      </c>
      <c r="AC462" t="s">
        <v>74</v>
      </c>
      <c r="AD462" t="s">
        <v>74</v>
      </c>
      <c r="AE462" t="s">
        <v>74</v>
      </c>
      <c r="AF462" t="s">
        <v>74</v>
      </c>
      <c r="AG462">
        <v>64</v>
      </c>
      <c r="AH462">
        <v>2386</v>
      </c>
      <c r="AI462">
        <v>2750</v>
      </c>
      <c r="AJ462">
        <v>17</v>
      </c>
      <c r="AK462">
        <v>702</v>
      </c>
      <c r="AL462" t="s">
        <v>7361</v>
      </c>
      <c r="AM462" t="s">
        <v>2541</v>
      </c>
      <c r="AN462" t="s">
        <v>7362</v>
      </c>
      <c r="AO462" t="s">
        <v>7363</v>
      </c>
      <c r="AP462" t="s">
        <v>7364</v>
      </c>
      <c r="AQ462" t="s">
        <v>74</v>
      </c>
      <c r="AR462" t="s">
        <v>6088</v>
      </c>
      <c r="AS462" t="s">
        <v>7365</v>
      </c>
      <c r="AT462" t="s">
        <v>7330</v>
      </c>
      <c r="AU462">
        <v>2005</v>
      </c>
      <c r="AV462">
        <v>310</v>
      </c>
      <c r="AW462">
        <v>5752</v>
      </c>
      <c r="AX462" t="s">
        <v>74</v>
      </c>
      <c r="AY462" t="s">
        <v>74</v>
      </c>
      <c r="AZ462" t="s">
        <v>74</v>
      </c>
      <c r="BA462" t="s">
        <v>74</v>
      </c>
      <c r="BB462">
        <v>1293</v>
      </c>
      <c r="BC462">
        <v>1298</v>
      </c>
      <c r="BD462" t="s">
        <v>74</v>
      </c>
      <c r="BE462" t="s">
        <v>7366</v>
      </c>
      <c r="BF462" t="str">
        <f>HYPERLINK("http://dx.doi.org/10.1126/science.1116412","http://dx.doi.org/10.1126/science.1116412")</f>
        <v>http://dx.doi.org/10.1126/science.1116412</v>
      </c>
      <c r="BG462" t="s">
        <v>74</v>
      </c>
      <c r="BH462" t="s">
        <v>74</v>
      </c>
      <c r="BI462">
        <v>6</v>
      </c>
      <c r="BJ462" t="s">
        <v>3495</v>
      </c>
      <c r="BK462" t="s">
        <v>98</v>
      </c>
      <c r="BL462" t="s">
        <v>3496</v>
      </c>
      <c r="BM462" t="s">
        <v>7367</v>
      </c>
      <c r="BN462">
        <v>16311326</v>
      </c>
      <c r="BO462" t="s">
        <v>74</v>
      </c>
      <c r="BP462" t="s">
        <v>74</v>
      </c>
      <c r="BQ462" t="s">
        <v>74</v>
      </c>
      <c r="BR462" t="s">
        <v>101</v>
      </c>
      <c r="BS462" t="s">
        <v>7368</v>
      </c>
      <c r="BT462" t="str">
        <f>HYPERLINK("https%3A%2F%2Fwww.webofscience.com%2Fwos%2Fwoscc%2Ffull-record%2FWOS:000233600200031","View Full Record in Web of Science")</f>
        <v>View Full Record in Web of Science</v>
      </c>
    </row>
    <row r="463" spans="1:72" x14ac:dyDescent="0.15">
      <c r="A463" t="s">
        <v>72</v>
      </c>
      <c r="B463" t="s">
        <v>7369</v>
      </c>
      <c r="C463" t="s">
        <v>74</v>
      </c>
      <c r="D463" t="s">
        <v>74</v>
      </c>
      <c r="E463" t="s">
        <v>74</v>
      </c>
      <c r="F463" t="s">
        <v>7369</v>
      </c>
      <c r="G463" t="s">
        <v>74</v>
      </c>
      <c r="H463" t="s">
        <v>74</v>
      </c>
      <c r="I463" t="s">
        <v>7370</v>
      </c>
      <c r="J463" t="s">
        <v>6088</v>
      </c>
      <c r="K463" t="s">
        <v>74</v>
      </c>
      <c r="L463" t="s">
        <v>74</v>
      </c>
      <c r="M463" t="s">
        <v>77</v>
      </c>
      <c r="N463" t="s">
        <v>78</v>
      </c>
      <c r="O463" t="s">
        <v>74</v>
      </c>
      <c r="P463" t="s">
        <v>74</v>
      </c>
      <c r="Q463" t="s">
        <v>74</v>
      </c>
      <c r="R463" t="s">
        <v>74</v>
      </c>
      <c r="S463" t="s">
        <v>74</v>
      </c>
      <c r="T463" t="s">
        <v>74</v>
      </c>
      <c r="U463" t="s">
        <v>7371</v>
      </c>
      <c r="V463" t="s">
        <v>7372</v>
      </c>
      <c r="W463" t="s">
        <v>7373</v>
      </c>
      <c r="X463" t="s">
        <v>7374</v>
      </c>
      <c r="Y463" t="s">
        <v>7375</v>
      </c>
      <c r="Z463" t="s">
        <v>7376</v>
      </c>
      <c r="AA463" t="s">
        <v>7377</v>
      </c>
      <c r="AB463" t="s">
        <v>7378</v>
      </c>
      <c r="AC463" t="s">
        <v>74</v>
      </c>
      <c r="AD463" t="s">
        <v>74</v>
      </c>
      <c r="AE463" t="s">
        <v>74</v>
      </c>
      <c r="AF463" t="s">
        <v>74</v>
      </c>
      <c r="AG463">
        <v>32</v>
      </c>
      <c r="AH463">
        <v>623</v>
      </c>
      <c r="AI463">
        <v>769</v>
      </c>
      <c r="AJ463">
        <v>7</v>
      </c>
      <c r="AK463">
        <v>240</v>
      </c>
      <c r="AL463" t="s">
        <v>7361</v>
      </c>
      <c r="AM463" t="s">
        <v>2541</v>
      </c>
      <c r="AN463" t="s">
        <v>7362</v>
      </c>
      <c r="AO463" t="s">
        <v>7363</v>
      </c>
      <c r="AP463" t="s">
        <v>7364</v>
      </c>
      <c r="AQ463" t="s">
        <v>74</v>
      </c>
      <c r="AR463" t="s">
        <v>6088</v>
      </c>
      <c r="AS463" t="s">
        <v>7365</v>
      </c>
      <c r="AT463" t="s">
        <v>7330</v>
      </c>
      <c r="AU463">
        <v>2005</v>
      </c>
      <c r="AV463">
        <v>310</v>
      </c>
      <c r="AW463">
        <v>5752</v>
      </c>
      <c r="AX463" t="s">
        <v>74</v>
      </c>
      <c r="AY463" t="s">
        <v>74</v>
      </c>
      <c r="AZ463" t="s">
        <v>74</v>
      </c>
      <c r="BA463" t="s">
        <v>74</v>
      </c>
      <c r="BB463">
        <v>1313</v>
      </c>
      <c r="BC463">
        <v>1317</v>
      </c>
      <c r="BD463" t="s">
        <v>74</v>
      </c>
      <c r="BE463" t="s">
        <v>7379</v>
      </c>
      <c r="BF463" t="str">
        <f>HYPERLINK("http://dx.doi.org/10.1126/science.1120130","http://dx.doi.org/10.1126/science.1120130")</f>
        <v>http://dx.doi.org/10.1126/science.1120130</v>
      </c>
      <c r="BG463" t="s">
        <v>74</v>
      </c>
      <c r="BH463" t="s">
        <v>74</v>
      </c>
      <c r="BI463">
        <v>5</v>
      </c>
      <c r="BJ463" t="s">
        <v>3495</v>
      </c>
      <c r="BK463" t="s">
        <v>98</v>
      </c>
      <c r="BL463" t="s">
        <v>3496</v>
      </c>
      <c r="BM463" t="s">
        <v>7367</v>
      </c>
      <c r="BN463">
        <v>16311332</v>
      </c>
      <c r="BO463" t="s">
        <v>534</v>
      </c>
      <c r="BP463" t="s">
        <v>74</v>
      </c>
      <c r="BQ463" t="s">
        <v>74</v>
      </c>
      <c r="BR463" t="s">
        <v>101</v>
      </c>
      <c r="BS463" t="s">
        <v>7380</v>
      </c>
      <c r="BT463" t="str">
        <f>HYPERLINK("https%3A%2F%2Fwww.webofscience.com%2Fwos%2Fwoscc%2Ffull-record%2FWOS:000233600200037","View Full Record in Web of Science")</f>
        <v>View Full Record in Web of Science</v>
      </c>
    </row>
    <row r="464" spans="1:72" x14ac:dyDescent="0.15">
      <c r="A464" t="s">
        <v>72</v>
      </c>
      <c r="B464" t="s">
        <v>7381</v>
      </c>
      <c r="C464" t="s">
        <v>74</v>
      </c>
      <c r="D464" t="s">
        <v>74</v>
      </c>
      <c r="E464" t="s">
        <v>74</v>
      </c>
      <c r="F464" t="s">
        <v>7381</v>
      </c>
      <c r="G464" t="s">
        <v>74</v>
      </c>
      <c r="H464" t="s">
        <v>74</v>
      </c>
      <c r="I464" t="s">
        <v>7382</v>
      </c>
      <c r="J464" t="s">
        <v>6088</v>
      </c>
      <c r="K464" t="s">
        <v>74</v>
      </c>
      <c r="L464" t="s">
        <v>74</v>
      </c>
      <c r="M464" t="s">
        <v>77</v>
      </c>
      <c r="N464" t="s">
        <v>78</v>
      </c>
      <c r="O464" t="s">
        <v>74</v>
      </c>
      <c r="P464" t="s">
        <v>74</v>
      </c>
      <c r="Q464" t="s">
        <v>74</v>
      </c>
      <c r="R464" t="s">
        <v>74</v>
      </c>
      <c r="S464" t="s">
        <v>74</v>
      </c>
      <c r="T464" t="s">
        <v>74</v>
      </c>
      <c r="U464" t="s">
        <v>7383</v>
      </c>
      <c r="V464" t="s">
        <v>7384</v>
      </c>
      <c r="W464" t="s">
        <v>7385</v>
      </c>
      <c r="X464" t="s">
        <v>7386</v>
      </c>
      <c r="Y464" t="s">
        <v>7375</v>
      </c>
      <c r="Z464" t="s">
        <v>7376</v>
      </c>
      <c r="AA464" t="s">
        <v>7387</v>
      </c>
      <c r="AB464" t="s">
        <v>7388</v>
      </c>
      <c r="AC464" t="s">
        <v>74</v>
      </c>
      <c r="AD464" t="s">
        <v>74</v>
      </c>
      <c r="AE464" t="s">
        <v>74</v>
      </c>
      <c r="AF464" t="s">
        <v>74</v>
      </c>
      <c r="AG464">
        <v>33</v>
      </c>
      <c r="AH464">
        <v>312</v>
      </c>
      <c r="AI464">
        <v>357</v>
      </c>
      <c r="AJ464">
        <v>7</v>
      </c>
      <c r="AK464">
        <v>105</v>
      </c>
      <c r="AL464" t="s">
        <v>7361</v>
      </c>
      <c r="AM464" t="s">
        <v>2541</v>
      </c>
      <c r="AN464" t="s">
        <v>7362</v>
      </c>
      <c r="AO464" t="s">
        <v>7363</v>
      </c>
      <c r="AP464" t="s">
        <v>7364</v>
      </c>
      <c r="AQ464" t="s">
        <v>74</v>
      </c>
      <c r="AR464" t="s">
        <v>6088</v>
      </c>
      <c r="AS464" t="s">
        <v>7365</v>
      </c>
      <c r="AT464" t="s">
        <v>7330</v>
      </c>
      <c r="AU464">
        <v>2005</v>
      </c>
      <c r="AV464">
        <v>310</v>
      </c>
      <c r="AW464">
        <v>5752</v>
      </c>
      <c r="AX464" t="s">
        <v>74</v>
      </c>
      <c r="AY464" t="s">
        <v>74</v>
      </c>
      <c r="AZ464" t="s">
        <v>74</v>
      </c>
      <c r="BA464" t="s">
        <v>74</v>
      </c>
      <c r="BB464">
        <v>1317</v>
      </c>
      <c r="BC464">
        <v>1321</v>
      </c>
      <c r="BD464" t="s">
        <v>74</v>
      </c>
      <c r="BE464" t="s">
        <v>7389</v>
      </c>
      <c r="BF464" t="str">
        <f>HYPERLINK("http://dx.doi.org/10.1126/science.1120132","http://dx.doi.org/10.1126/science.1120132")</f>
        <v>http://dx.doi.org/10.1126/science.1120132</v>
      </c>
      <c r="BG464" t="s">
        <v>74</v>
      </c>
      <c r="BH464" t="s">
        <v>74</v>
      </c>
      <c r="BI464">
        <v>5</v>
      </c>
      <c r="BJ464" t="s">
        <v>3495</v>
      </c>
      <c r="BK464" t="s">
        <v>98</v>
      </c>
      <c r="BL464" t="s">
        <v>3496</v>
      </c>
      <c r="BM464" t="s">
        <v>7367</v>
      </c>
      <c r="BN464">
        <v>16311333</v>
      </c>
      <c r="BO464" t="s">
        <v>74</v>
      </c>
      <c r="BP464" t="s">
        <v>74</v>
      </c>
      <c r="BQ464" t="s">
        <v>74</v>
      </c>
      <c r="BR464" t="s">
        <v>101</v>
      </c>
      <c r="BS464" t="s">
        <v>7390</v>
      </c>
      <c r="BT464" t="str">
        <f>HYPERLINK("https%3A%2F%2Fwww.webofscience.com%2Fwos%2Fwoscc%2Ffull-record%2FWOS:000233600200038","View Full Record in Web of Science")</f>
        <v>View Full Record in Web of Science</v>
      </c>
    </row>
    <row r="465" spans="1:72" x14ac:dyDescent="0.15">
      <c r="A465" t="s">
        <v>72</v>
      </c>
      <c r="B465" t="s">
        <v>7391</v>
      </c>
      <c r="C465" t="s">
        <v>74</v>
      </c>
      <c r="D465" t="s">
        <v>74</v>
      </c>
      <c r="E465" t="s">
        <v>74</v>
      </c>
      <c r="F465" t="s">
        <v>7391</v>
      </c>
      <c r="G465" t="s">
        <v>74</v>
      </c>
      <c r="H465" t="s">
        <v>74</v>
      </c>
      <c r="I465" t="s">
        <v>7392</v>
      </c>
      <c r="J465" t="s">
        <v>6667</v>
      </c>
      <c r="K465" t="s">
        <v>74</v>
      </c>
      <c r="L465" t="s">
        <v>74</v>
      </c>
      <c r="M465" t="s">
        <v>77</v>
      </c>
      <c r="N465" t="s">
        <v>78</v>
      </c>
      <c r="O465" t="s">
        <v>74</v>
      </c>
      <c r="P465" t="s">
        <v>74</v>
      </c>
      <c r="Q465" t="s">
        <v>74</v>
      </c>
      <c r="R465" t="s">
        <v>74</v>
      </c>
      <c r="S465" t="s">
        <v>74</v>
      </c>
      <c r="T465" t="s">
        <v>74</v>
      </c>
      <c r="U465" t="s">
        <v>7393</v>
      </c>
      <c r="V465" t="s">
        <v>7394</v>
      </c>
      <c r="W465" t="s">
        <v>7395</v>
      </c>
      <c r="X465" t="s">
        <v>7396</v>
      </c>
      <c r="Y465" t="s">
        <v>7397</v>
      </c>
      <c r="Z465" t="s">
        <v>7398</v>
      </c>
      <c r="AA465" t="s">
        <v>7399</v>
      </c>
      <c r="AB465" t="s">
        <v>7400</v>
      </c>
      <c r="AC465" t="s">
        <v>74</v>
      </c>
      <c r="AD465" t="s">
        <v>74</v>
      </c>
      <c r="AE465" t="s">
        <v>74</v>
      </c>
      <c r="AF465" t="s">
        <v>74</v>
      </c>
      <c r="AG465">
        <v>30</v>
      </c>
      <c r="AH465">
        <v>259</v>
      </c>
      <c r="AI465">
        <v>295</v>
      </c>
      <c r="AJ465">
        <v>6</v>
      </c>
      <c r="AK465">
        <v>98</v>
      </c>
      <c r="AL465" t="s">
        <v>6669</v>
      </c>
      <c r="AM465" t="s">
        <v>1055</v>
      </c>
      <c r="AN465" t="s">
        <v>6670</v>
      </c>
      <c r="AO465" t="s">
        <v>6671</v>
      </c>
      <c r="AP465" t="s">
        <v>6672</v>
      </c>
      <c r="AQ465" t="s">
        <v>74</v>
      </c>
      <c r="AR465" t="s">
        <v>6667</v>
      </c>
      <c r="AS465" t="s">
        <v>6673</v>
      </c>
      <c r="AT465" t="s">
        <v>7401</v>
      </c>
      <c r="AU465">
        <v>2005</v>
      </c>
      <c r="AV465">
        <v>438</v>
      </c>
      <c r="AW465">
        <v>7067</v>
      </c>
      <c r="AX465" t="s">
        <v>74</v>
      </c>
      <c r="AY465" t="s">
        <v>74</v>
      </c>
      <c r="AZ465" t="s">
        <v>74</v>
      </c>
      <c r="BA465" t="s">
        <v>74</v>
      </c>
      <c r="BB465">
        <v>483</v>
      </c>
      <c r="BC465">
        <v>487</v>
      </c>
      <c r="BD465" t="s">
        <v>74</v>
      </c>
      <c r="BE465" t="s">
        <v>7402</v>
      </c>
      <c r="BF465" t="str">
        <f>HYPERLINK("http://dx.doi.org/10.1038/nature04123","http://dx.doi.org/10.1038/nature04123")</f>
        <v>http://dx.doi.org/10.1038/nature04123</v>
      </c>
      <c r="BG465" t="s">
        <v>74</v>
      </c>
      <c r="BH465" t="s">
        <v>74</v>
      </c>
      <c r="BI465">
        <v>5</v>
      </c>
      <c r="BJ465" t="s">
        <v>3495</v>
      </c>
      <c r="BK465" t="s">
        <v>98</v>
      </c>
      <c r="BL465" t="s">
        <v>3496</v>
      </c>
      <c r="BM465" t="s">
        <v>7403</v>
      </c>
      <c r="BN465">
        <v>16306989</v>
      </c>
      <c r="BO465" t="s">
        <v>74</v>
      </c>
      <c r="BP465" t="s">
        <v>74</v>
      </c>
      <c r="BQ465" t="s">
        <v>74</v>
      </c>
      <c r="BR465" t="s">
        <v>101</v>
      </c>
      <c r="BS465" t="s">
        <v>7404</v>
      </c>
      <c r="BT465" t="str">
        <f>HYPERLINK("https%3A%2F%2Fwww.webofscience.com%2Fwos%2Fwoscc%2Ffull-record%2FWOS:000233458200046","View Full Record in Web of Science")</f>
        <v>View Full Record in Web of Science</v>
      </c>
    </row>
    <row r="466" spans="1:72" x14ac:dyDescent="0.15">
      <c r="A466" t="s">
        <v>72</v>
      </c>
      <c r="B466" t="s">
        <v>7405</v>
      </c>
      <c r="C466" t="s">
        <v>74</v>
      </c>
      <c r="D466" t="s">
        <v>74</v>
      </c>
      <c r="E466" t="s">
        <v>74</v>
      </c>
      <c r="F466" t="s">
        <v>7405</v>
      </c>
      <c r="G466" t="s">
        <v>74</v>
      </c>
      <c r="H466" t="s">
        <v>74</v>
      </c>
      <c r="I466" t="s">
        <v>7406</v>
      </c>
      <c r="J466" t="s">
        <v>7407</v>
      </c>
      <c r="K466" t="s">
        <v>74</v>
      </c>
      <c r="L466" t="s">
        <v>74</v>
      </c>
      <c r="M466" t="s">
        <v>77</v>
      </c>
      <c r="N466" t="s">
        <v>78</v>
      </c>
      <c r="O466" t="s">
        <v>74</v>
      </c>
      <c r="P466" t="s">
        <v>74</v>
      </c>
      <c r="Q466" t="s">
        <v>74</v>
      </c>
      <c r="R466" t="s">
        <v>74</v>
      </c>
      <c r="S466" t="s">
        <v>74</v>
      </c>
      <c r="T466" t="s">
        <v>74</v>
      </c>
      <c r="U466" t="s">
        <v>7408</v>
      </c>
      <c r="V466" t="s">
        <v>7409</v>
      </c>
      <c r="W466" t="s">
        <v>7410</v>
      </c>
      <c r="X466" t="s">
        <v>7411</v>
      </c>
      <c r="Y466" t="s">
        <v>7412</v>
      </c>
      <c r="Z466" t="s">
        <v>7413</v>
      </c>
      <c r="AA466" t="s">
        <v>7414</v>
      </c>
      <c r="AB466" t="s">
        <v>7415</v>
      </c>
      <c r="AC466" t="s">
        <v>74</v>
      </c>
      <c r="AD466" t="s">
        <v>74</v>
      </c>
      <c r="AE466" t="s">
        <v>74</v>
      </c>
      <c r="AF466" t="s">
        <v>74</v>
      </c>
      <c r="AG466">
        <v>58</v>
      </c>
      <c r="AH466">
        <v>37</v>
      </c>
      <c r="AI466">
        <v>38</v>
      </c>
      <c r="AJ466">
        <v>0</v>
      </c>
      <c r="AK466">
        <v>5</v>
      </c>
      <c r="AL466" t="s">
        <v>431</v>
      </c>
      <c r="AM466" t="s">
        <v>432</v>
      </c>
      <c r="AN466" t="s">
        <v>433</v>
      </c>
      <c r="AO466" t="s">
        <v>7416</v>
      </c>
      <c r="AP466" t="s">
        <v>7417</v>
      </c>
      <c r="AQ466" t="s">
        <v>74</v>
      </c>
      <c r="AR466" t="s">
        <v>7418</v>
      </c>
      <c r="AS466" t="s">
        <v>7419</v>
      </c>
      <c r="AT466" t="s">
        <v>7420</v>
      </c>
      <c r="AU466">
        <v>2005</v>
      </c>
      <c r="AV466">
        <v>5</v>
      </c>
      <c r="AW466" t="s">
        <v>74</v>
      </c>
      <c r="AX466" t="s">
        <v>74</v>
      </c>
      <c r="AY466" t="s">
        <v>74</v>
      </c>
      <c r="AZ466" t="s">
        <v>74</v>
      </c>
      <c r="BA466" t="s">
        <v>74</v>
      </c>
      <c r="BB466">
        <v>3139</v>
      </c>
      <c r="BC466">
        <v>3151</v>
      </c>
      <c r="BD466" t="s">
        <v>74</v>
      </c>
      <c r="BE466" t="s">
        <v>74</v>
      </c>
      <c r="BF466" t="s">
        <v>74</v>
      </c>
      <c r="BG466" t="s">
        <v>74</v>
      </c>
      <c r="BH466" t="s">
        <v>74</v>
      </c>
      <c r="BI466">
        <v>13</v>
      </c>
      <c r="BJ466" t="s">
        <v>6080</v>
      </c>
      <c r="BK466" t="s">
        <v>98</v>
      </c>
      <c r="BL466" t="s">
        <v>6081</v>
      </c>
      <c r="BM466" t="s">
        <v>7421</v>
      </c>
      <c r="BN466" t="s">
        <v>74</v>
      </c>
      <c r="BO466" t="s">
        <v>74</v>
      </c>
      <c r="BP466" t="s">
        <v>74</v>
      </c>
      <c r="BQ466" t="s">
        <v>74</v>
      </c>
      <c r="BR466" t="s">
        <v>101</v>
      </c>
      <c r="BS466" t="s">
        <v>7422</v>
      </c>
      <c r="BT466" t="str">
        <f>HYPERLINK("https%3A%2F%2Fwww.webofscience.com%2Fwos%2Fwoscc%2Ffull-record%2FWOS:000233609900001","View Full Record in Web of Science")</f>
        <v>View Full Record in Web of Science</v>
      </c>
    </row>
    <row r="467" spans="1:72" x14ac:dyDescent="0.15">
      <c r="A467" t="s">
        <v>72</v>
      </c>
      <c r="B467" t="s">
        <v>7423</v>
      </c>
      <c r="C467" t="s">
        <v>74</v>
      </c>
      <c r="D467" t="s">
        <v>74</v>
      </c>
      <c r="E467" t="s">
        <v>74</v>
      </c>
      <c r="F467" t="s">
        <v>7423</v>
      </c>
      <c r="G467" t="s">
        <v>74</v>
      </c>
      <c r="H467" t="s">
        <v>74</v>
      </c>
      <c r="I467" t="s">
        <v>7424</v>
      </c>
      <c r="J467" t="s">
        <v>7425</v>
      </c>
      <c r="K467" t="s">
        <v>74</v>
      </c>
      <c r="L467" t="s">
        <v>74</v>
      </c>
      <c r="M467" t="s">
        <v>77</v>
      </c>
      <c r="N467" t="s">
        <v>78</v>
      </c>
      <c r="O467" t="s">
        <v>74</v>
      </c>
      <c r="P467" t="s">
        <v>74</v>
      </c>
      <c r="Q467" t="s">
        <v>74</v>
      </c>
      <c r="R467" t="s">
        <v>74</v>
      </c>
      <c r="S467" t="s">
        <v>74</v>
      </c>
      <c r="T467" t="s">
        <v>7426</v>
      </c>
      <c r="U467" t="s">
        <v>7427</v>
      </c>
      <c r="V467" t="s">
        <v>7428</v>
      </c>
      <c r="W467" t="s">
        <v>7429</v>
      </c>
      <c r="X467" t="s">
        <v>7430</v>
      </c>
      <c r="Y467" t="s">
        <v>7431</v>
      </c>
      <c r="Z467" t="s">
        <v>7432</v>
      </c>
      <c r="AA467" t="s">
        <v>7433</v>
      </c>
      <c r="AB467" t="s">
        <v>7434</v>
      </c>
      <c r="AC467" t="s">
        <v>74</v>
      </c>
      <c r="AD467" t="s">
        <v>74</v>
      </c>
      <c r="AE467" t="s">
        <v>74</v>
      </c>
      <c r="AF467" t="s">
        <v>74</v>
      </c>
      <c r="AG467">
        <v>37</v>
      </c>
      <c r="AH467">
        <v>16</v>
      </c>
      <c r="AI467">
        <v>18</v>
      </c>
      <c r="AJ467">
        <v>0</v>
      </c>
      <c r="AK467">
        <v>8</v>
      </c>
      <c r="AL467" t="s">
        <v>4487</v>
      </c>
      <c r="AM467" t="s">
        <v>2541</v>
      </c>
      <c r="AN467" t="s">
        <v>4488</v>
      </c>
      <c r="AO467" t="s">
        <v>74</v>
      </c>
      <c r="AP467" t="s">
        <v>7435</v>
      </c>
      <c r="AQ467" t="s">
        <v>74</v>
      </c>
      <c r="AR467" t="s">
        <v>7436</v>
      </c>
      <c r="AS467" t="s">
        <v>7437</v>
      </c>
      <c r="AT467" t="s">
        <v>7420</v>
      </c>
      <c r="AU467">
        <v>2005</v>
      </c>
      <c r="AV467">
        <v>6</v>
      </c>
      <c r="AW467" t="s">
        <v>74</v>
      </c>
      <c r="AX467" t="s">
        <v>74</v>
      </c>
      <c r="AY467" t="s">
        <v>74</v>
      </c>
      <c r="AZ467" t="s">
        <v>74</v>
      </c>
      <c r="BA467" t="s">
        <v>74</v>
      </c>
      <c r="BB467" t="s">
        <v>74</v>
      </c>
      <c r="BC467" t="s">
        <v>74</v>
      </c>
      <c r="BD467" t="s">
        <v>7438</v>
      </c>
      <c r="BE467" t="s">
        <v>7439</v>
      </c>
      <c r="BF467" t="str">
        <f>HYPERLINK("http://dx.doi.org/10.1029/2005GC001027","http://dx.doi.org/10.1029/2005GC001027")</f>
        <v>http://dx.doi.org/10.1029/2005GC001027</v>
      </c>
      <c r="BG467" t="s">
        <v>74</v>
      </c>
      <c r="BH467" t="s">
        <v>74</v>
      </c>
      <c r="BI467">
        <v>16</v>
      </c>
      <c r="BJ467" t="s">
        <v>1348</v>
      </c>
      <c r="BK467" t="s">
        <v>98</v>
      </c>
      <c r="BL467" t="s">
        <v>1348</v>
      </c>
      <c r="BM467" t="s">
        <v>7440</v>
      </c>
      <c r="BN467" t="s">
        <v>74</v>
      </c>
      <c r="BO467" t="s">
        <v>4083</v>
      </c>
      <c r="BP467" t="s">
        <v>74</v>
      </c>
      <c r="BQ467" t="s">
        <v>74</v>
      </c>
      <c r="BR467" t="s">
        <v>101</v>
      </c>
      <c r="BS467" t="s">
        <v>7441</v>
      </c>
      <c r="BT467" t="str">
        <f>HYPERLINK("https%3A%2F%2Fwww.webofscience.com%2Fwos%2Fwoscc%2Ffull-record%2FWOS:000233630800003","View Full Record in Web of Science")</f>
        <v>View Full Record in Web of Science</v>
      </c>
    </row>
    <row r="468" spans="1:72" x14ac:dyDescent="0.15">
      <c r="A468" t="s">
        <v>72</v>
      </c>
      <c r="B468" t="s">
        <v>7442</v>
      </c>
      <c r="C468" t="s">
        <v>74</v>
      </c>
      <c r="D468" t="s">
        <v>74</v>
      </c>
      <c r="E468" t="s">
        <v>74</v>
      </c>
      <c r="F468" t="s">
        <v>7442</v>
      </c>
      <c r="G468" t="s">
        <v>74</v>
      </c>
      <c r="H468" t="s">
        <v>74</v>
      </c>
      <c r="I468" t="s">
        <v>7443</v>
      </c>
      <c r="J468" t="s">
        <v>5458</v>
      </c>
      <c r="K468" t="s">
        <v>74</v>
      </c>
      <c r="L468" t="s">
        <v>74</v>
      </c>
      <c r="M468" t="s">
        <v>77</v>
      </c>
      <c r="N468" t="s">
        <v>78</v>
      </c>
      <c r="O468" t="s">
        <v>74</v>
      </c>
      <c r="P468" t="s">
        <v>74</v>
      </c>
      <c r="Q468" t="s">
        <v>74</v>
      </c>
      <c r="R468" t="s">
        <v>74</v>
      </c>
      <c r="S468" t="s">
        <v>74</v>
      </c>
      <c r="T468" t="s">
        <v>7444</v>
      </c>
      <c r="U468" t="s">
        <v>7445</v>
      </c>
      <c r="V468" t="s">
        <v>7446</v>
      </c>
      <c r="W468" t="s">
        <v>7447</v>
      </c>
      <c r="X468" t="s">
        <v>7106</v>
      </c>
      <c r="Y468" t="s">
        <v>7448</v>
      </c>
      <c r="Z468" t="s">
        <v>7449</v>
      </c>
      <c r="AA468" t="s">
        <v>74</v>
      </c>
      <c r="AB468" t="s">
        <v>7109</v>
      </c>
      <c r="AC468" t="s">
        <v>74</v>
      </c>
      <c r="AD468" t="s">
        <v>74</v>
      </c>
      <c r="AE468" t="s">
        <v>74</v>
      </c>
      <c r="AF468" t="s">
        <v>74</v>
      </c>
      <c r="AG468">
        <v>49</v>
      </c>
      <c r="AH468">
        <v>19</v>
      </c>
      <c r="AI468">
        <v>21</v>
      </c>
      <c r="AJ468">
        <v>1</v>
      </c>
      <c r="AK468">
        <v>13</v>
      </c>
      <c r="AL468" t="s">
        <v>3283</v>
      </c>
      <c r="AM468" t="s">
        <v>1148</v>
      </c>
      <c r="AN468" t="s">
        <v>3284</v>
      </c>
      <c r="AO468" t="s">
        <v>5468</v>
      </c>
      <c r="AP468" t="s">
        <v>7450</v>
      </c>
      <c r="AQ468" t="s">
        <v>74</v>
      </c>
      <c r="AR468" t="s">
        <v>5469</v>
      </c>
      <c r="AS468" t="s">
        <v>5470</v>
      </c>
      <c r="AT468" t="s">
        <v>7451</v>
      </c>
      <c r="AU468">
        <v>2005</v>
      </c>
      <c r="AV468">
        <v>325</v>
      </c>
      <c r="AW468">
        <v>1</v>
      </c>
      <c r="AX468" t="s">
        <v>74</v>
      </c>
      <c r="AY468" t="s">
        <v>74</v>
      </c>
      <c r="AZ468" t="s">
        <v>74</v>
      </c>
      <c r="BA468" t="s">
        <v>74</v>
      </c>
      <c r="BB468">
        <v>35</v>
      </c>
      <c r="BC468">
        <v>45</v>
      </c>
      <c r="BD468" t="s">
        <v>74</v>
      </c>
      <c r="BE468" t="s">
        <v>7452</v>
      </c>
      <c r="BF468" t="str">
        <f>HYPERLINK("http://dx.doi.org/10.1016/j.jembe.2005.04.021","http://dx.doi.org/10.1016/j.jembe.2005.04.021")</f>
        <v>http://dx.doi.org/10.1016/j.jembe.2005.04.021</v>
      </c>
      <c r="BG468" t="s">
        <v>74</v>
      </c>
      <c r="BH468" t="s">
        <v>74</v>
      </c>
      <c r="BI468">
        <v>11</v>
      </c>
      <c r="BJ468" t="s">
        <v>2628</v>
      </c>
      <c r="BK468" t="s">
        <v>98</v>
      </c>
      <c r="BL468" t="s">
        <v>2629</v>
      </c>
      <c r="BM468" t="s">
        <v>7453</v>
      </c>
      <c r="BN468" t="s">
        <v>74</v>
      </c>
      <c r="BO468" t="s">
        <v>74</v>
      </c>
      <c r="BP468" t="s">
        <v>74</v>
      </c>
      <c r="BQ468" t="s">
        <v>74</v>
      </c>
      <c r="BR468" t="s">
        <v>101</v>
      </c>
      <c r="BS468" t="s">
        <v>7454</v>
      </c>
      <c r="BT468" t="str">
        <f>HYPERLINK("https%3A%2F%2Fwww.webofscience.com%2Fwos%2Fwoscc%2Ffull-record%2FWOS:000233501600005","View Full Record in Web of Science")</f>
        <v>View Full Record in Web of Science</v>
      </c>
    </row>
    <row r="469" spans="1:72" x14ac:dyDescent="0.15">
      <c r="A469" t="s">
        <v>72</v>
      </c>
      <c r="B469" t="s">
        <v>7455</v>
      </c>
      <c r="C469" t="s">
        <v>74</v>
      </c>
      <c r="D469" t="s">
        <v>74</v>
      </c>
      <c r="E469" t="s">
        <v>74</v>
      </c>
      <c r="F469" t="s">
        <v>7455</v>
      </c>
      <c r="G469" t="s">
        <v>74</v>
      </c>
      <c r="H469" t="s">
        <v>74</v>
      </c>
      <c r="I469" t="s">
        <v>7456</v>
      </c>
      <c r="J469" t="s">
        <v>7457</v>
      </c>
      <c r="K469" t="s">
        <v>74</v>
      </c>
      <c r="L469" t="s">
        <v>74</v>
      </c>
      <c r="M469" t="s">
        <v>77</v>
      </c>
      <c r="N469" t="s">
        <v>78</v>
      </c>
      <c r="O469" t="s">
        <v>74</v>
      </c>
      <c r="P469" t="s">
        <v>74</v>
      </c>
      <c r="Q469" t="s">
        <v>74</v>
      </c>
      <c r="R469" t="s">
        <v>74</v>
      </c>
      <c r="S469" t="s">
        <v>74</v>
      </c>
      <c r="T469" t="s">
        <v>7458</v>
      </c>
      <c r="U469" t="s">
        <v>5212</v>
      </c>
      <c r="V469" t="s">
        <v>7459</v>
      </c>
      <c r="W469" t="s">
        <v>7460</v>
      </c>
      <c r="X469" t="s">
        <v>7461</v>
      </c>
      <c r="Y469" t="s">
        <v>7462</v>
      </c>
      <c r="Z469" t="s">
        <v>7463</v>
      </c>
      <c r="AA469" t="s">
        <v>7464</v>
      </c>
      <c r="AB469" t="s">
        <v>7465</v>
      </c>
      <c r="AC469" t="s">
        <v>74</v>
      </c>
      <c r="AD469" t="s">
        <v>74</v>
      </c>
      <c r="AE469" t="s">
        <v>74</v>
      </c>
      <c r="AF469" t="s">
        <v>74</v>
      </c>
      <c r="AG469">
        <v>9</v>
      </c>
      <c r="AH469">
        <v>8</v>
      </c>
      <c r="AI469">
        <v>8</v>
      </c>
      <c r="AJ469">
        <v>0</v>
      </c>
      <c r="AK469">
        <v>0</v>
      </c>
      <c r="AL469" t="s">
        <v>7466</v>
      </c>
      <c r="AM469" t="s">
        <v>7467</v>
      </c>
      <c r="AN469" t="s">
        <v>7468</v>
      </c>
      <c r="AO469" t="s">
        <v>7469</v>
      </c>
      <c r="AP469" t="s">
        <v>7470</v>
      </c>
      <c r="AQ469" t="s">
        <v>74</v>
      </c>
      <c r="AR469" t="s">
        <v>7457</v>
      </c>
      <c r="AS469" t="s">
        <v>7471</v>
      </c>
      <c r="AT469" t="s">
        <v>7451</v>
      </c>
      <c r="AU469">
        <v>2005</v>
      </c>
      <c r="AV469" t="s">
        <v>74</v>
      </c>
      <c r="AW469">
        <v>1085</v>
      </c>
      <c r="AX469" t="s">
        <v>74</v>
      </c>
      <c r="AY469" t="s">
        <v>74</v>
      </c>
      <c r="AZ469" t="s">
        <v>74</v>
      </c>
      <c r="BA469" t="s">
        <v>74</v>
      </c>
      <c r="BB469">
        <v>1</v>
      </c>
      <c r="BC469">
        <v>19</v>
      </c>
      <c r="BD469" t="s">
        <v>74</v>
      </c>
      <c r="BE469" t="s">
        <v>7472</v>
      </c>
      <c r="BF469" t="str">
        <f>HYPERLINK("http://dx.doi.org/10.11646/zootaxa.1085.1.1","http://dx.doi.org/10.11646/zootaxa.1085.1.1")</f>
        <v>http://dx.doi.org/10.11646/zootaxa.1085.1.1</v>
      </c>
      <c r="BG469" t="s">
        <v>74</v>
      </c>
      <c r="BH469" t="s">
        <v>74</v>
      </c>
      <c r="BI469">
        <v>19</v>
      </c>
      <c r="BJ469" t="s">
        <v>532</v>
      </c>
      <c r="BK469" t="s">
        <v>98</v>
      </c>
      <c r="BL469" t="s">
        <v>532</v>
      </c>
      <c r="BM469" t="s">
        <v>7473</v>
      </c>
      <c r="BN469" t="s">
        <v>74</v>
      </c>
      <c r="BO469" t="s">
        <v>74</v>
      </c>
      <c r="BP469" t="s">
        <v>74</v>
      </c>
      <c r="BQ469" t="s">
        <v>74</v>
      </c>
      <c r="BR469" t="s">
        <v>101</v>
      </c>
      <c r="BS469" t="s">
        <v>7474</v>
      </c>
      <c r="BT469" t="str">
        <f>HYPERLINK("https%3A%2F%2Fwww.webofscience.com%2Fwos%2Fwoscc%2Ffull-record%2FWOS:000233654000001","View Full Record in Web of Science")</f>
        <v>View Full Record in Web of Science</v>
      </c>
    </row>
    <row r="470" spans="1:72" x14ac:dyDescent="0.15">
      <c r="A470" t="s">
        <v>72</v>
      </c>
      <c r="B470" t="s">
        <v>7475</v>
      </c>
      <c r="C470" t="s">
        <v>74</v>
      </c>
      <c r="D470" t="s">
        <v>74</v>
      </c>
      <c r="E470" t="s">
        <v>74</v>
      </c>
      <c r="F470" t="s">
        <v>7475</v>
      </c>
      <c r="G470" t="s">
        <v>74</v>
      </c>
      <c r="H470" t="s">
        <v>74</v>
      </c>
      <c r="I470" t="s">
        <v>7476</v>
      </c>
      <c r="J470" t="s">
        <v>7477</v>
      </c>
      <c r="K470" t="s">
        <v>74</v>
      </c>
      <c r="L470" t="s">
        <v>74</v>
      </c>
      <c r="M470" t="s">
        <v>77</v>
      </c>
      <c r="N470" t="s">
        <v>335</v>
      </c>
      <c r="O470" t="s">
        <v>7478</v>
      </c>
      <c r="P470" t="s">
        <v>7479</v>
      </c>
      <c r="Q470" t="s">
        <v>7480</v>
      </c>
      <c r="R470" t="s">
        <v>74</v>
      </c>
      <c r="S470" t="s">
        <v>74</v>
      </c>
      <c r="T470" t="s">
        <v>7481</v>
      </c>
      <c r="U470" t="s">
        <v>7482</v>
      </c>
      <c r="V470" t="s">
        <v>7483</v>
      </c>
      <c r="W470" t="s">
        <v>7484</v>
      </c>
      <c r="X470" t="s">
        <v>7485</v>
      </c>
      <c r="Y470" t="s">
        <v>7486</v>
      </c>
      <c r="Z470" t="s">
        <v>74</v>
      </c>
      <c r="AA470" t="s">
        <v>7487</v>
      </c>
      <c r="AB470" t="s">
        <v>7488</v>
      </c>
      <c r="AC470" t="s">
        <v>74</v>
      </c>
      <c r="AD470" t="s">
        <v>74</v>
      </c>
      <c r="AE470" t="s">
        <v>74</v>
      </c>
      <c r="AF470" t="s">
        <v>74</v>
      </c>
      <c r="AG470">
        <v>5</v>
      </c>
      <c r="AH470">
        <v>1</v>
      </c>
      <c r="AI470">
        <v>1</v>
      </c>
      <c r="AJ470">
        <v>0</v>
      </c>
      <c r="AK470">
        <v>0</v>
      </c>
      <c r="AL470" t="s">
        <v>7489</v>
      </c>
      <c r="AM470" t="s">
        <v>7490</v>
      </c>
      <c r="AN470" t="s">
        <v>7491</v>
      </c>
      <c r="AO470" t="s">
        <v>7492</v>
      </c>
      <c r="AP470" t="s">
        <v>74</v>
      </c>
      <c r="AQ470" t="s">
        <v>74</v>
      </c>
      <c r="AR470" t="s">
        <v>7493</v>
      </c>
      <c r="AS470" t="s">
        <v>7494</v>
      </c>
      <c r="AT470" t="s">
        <v>7495</v>
      </c>
      <c r="AU470">
        <v>2005</v>
      </c>
      <c r="AV470">
        <v>20</v>
      </c>
      <c r="AW470">
        <v>29</v>
      </c>
      <c r="AX470" t="s">
        <v>74</v>
      </c>
      <c r="AY470" t="s">
        <v>74</v>
      </c>
      <c r="AZ470" t="s">
        <v>74</v>
      </c>
      <c r="BA470" t="s">
        <v>74</v>
      </c>
      <c r="BB470">
        <v>6708</v>
      </c>
      <c r="BC470">
        <v>6710</v>
      </c>
      <c r="BD470" t="s">
        <v>74</v>
      </c>
      <c r="BE470" t="s">
        <v>7496</v>
      </c>
      <c r="BF470" t="str">
        <f>HYPERLINK("http://dx.doi.org/10.1142/S0217751X05029885","http://dx.doi.org/10.1142/S0217751X05029885")</f>
        <v>http://dx.doi.org/10.1142/S0217751X05029885</v>
      </c>
      <c r="BG470" t="s">
        <v>74</v>
      </c>
      <c r="BH470" t="s">
        <v>74</v>
      </c>
      <c r="BI470">
        <v>3</v>
      </c>
      <c r="BJ470" t="s">
        <v>7497</v>
      </c>
      <c r="BK470" t="s">
        <v>356</v>
      </c>
      <c r="BL470" t="s">
        <v>3899</v>
      </c>
      <c r="BM470" t="s">
        <v>7498</v>
      </c>
      <c r="BN470" t="s">
        <v>74</v>
      </c>
      <c r="BO470" t="s">
        <v>74</v>
      </c>
      <c r="BP470" t="s">
        <v>74</v>
      </c>
      <c r="BQ470" t="s">
        <v>74</v>
      </c>
      <c r="BR470" t="s">
        <v>101</v>
      </c>
      <c r="BS470" t="s">
        <v>7499</v>
      </c>
      <c r="BT470" t="str">
        <f>HYPERLINK("https%3A%2F%2Fwww.webofscience.com%2Fwos%2Fwoscc%2Ffull-record%2FWOS:000234702700032","View Full Record in Web of Science")</f>
        <v>View Full Record in Web of Science</v>
      </c>
    </row>
    <row r="471" spans="1:72" x14ac:dyDescent="0.15">
      <c r="A471" t="s">
        <v>72</v>
      </c>
      <c r="B471" t="s">
        <v>7500</v>
      </c>
      <c r="C471" t="s">
        <v>74</v>
      </c>
      <c r="D471" t="s">
        <v>74</v>
      </c>
      <c r="E471" t="s">
        <v>74</v>
      </c>
      <c r="F471" t="s">
        <v>7500</v>
      </c>
      <c r="G471" t="s">
        <v>74</v>
      </c>
      <c r="H471" t="s">
        <v>74</v>
      </c>
      <c r="I471" t="s">
        <v>7501</v>
      </c>
      <c r="J471" t="s">
        <v>5134</v>
      </c>
      <c r="K471" t="s">
        <v>74</v>
      </c>
      <c r="L471" t="s">
        <v>74</v>
      </c>
      <c r="M471" t="s">
        <v>77</v>
      </c>
      <c r="N471" t="s">
        <v>78</v>
      </c>
      <c r="O471" t="s">
        <v>74</v>
      </c>
      <c r="P471" t="s">
        <v>74</v>
      </c>
      <c r="Q471" t="s">
        <v>74</v>
      </c>
      <c r="R471" t="s">
        <v>74</v>
      </c>
      <c r="S471" t="s">
        <v>74</v>
      </c>
      <c r="T471" t="s">
        <v>74</v>
      </c>
      <c r="U471" t="s">
        <v>7502</v>
      </c>
      <c r="V471" t="s">
        <v>7503</v>
      </c>
      <c r="W471" t="s">
        <v>7504</v>
      </c>
      <c r="X471" t="s">
        <v>7505</v>
      </c>
      <c r="Y471" t="s">
        <v>7506</v>
      </c>
      <c r="Z471" t="s">
        <v>7507</v>
      </c>
      <c r="AA471" t="s">
        <v>7508</v>
      </c>
      <c r="AB471" t="s">
        <v>7509</v>
      </c>
      <c r="AC471" t="s">
        <v>74</v>
      </c>
      <c r="AD471" t="s">
        <v>74</v>
      </c>
      <c r="AE471" t="s">
        <v>74</v>
      </c>
      <c r="AF471" t="s">
        <v>74</v>
      </c>
      <c r="AG471">
        <v>11</v>
      </c>
      <c r="AH471">
        <v>4</v>
      </c>
      <c r="AI471">
        <v>4</v>
      </c>
      <c r="AJ471">
        <v>0</v>
      </c>
      <c r="AK471">
        <v>5</v>
      </c>
      <c r="AL471" t="s">
        <v>4487</v>
      </c>
      <c r="AM471" t="s">
        <v>2541</v>
      </c>
      <c r="AN471" t="s">
        <v>4488</v>
      </c>
      <c r="AO471" t="s">
        <v>5142</v>
      </c>
      <c r="AP471" t="s">
        <v>74</v>
      </c>
      <c r="AQ471" t="s">
        <v>74</v>
      </c>
      <c r="AR471" t="s">
        <v>5144</v>
      </c>
      <c r="AS471" t="s">
        <v>5145</v>
      </c>
      <c r="AT471" t="s">
        <v>7510</v>
      </c>
      <c r="AU471">
        <v>2005</v>
      </c>
      <c r="AV471">
        <v>32</v>
      </c>
      <c r="AW471">
        <v>22</v>
      </c>
      <c r="AX471" t="s">
        <v>74</v>
      </c>
      <c r="AY471" t="s">
        <v>74</v>
      </c>
      <c r="AZ471" t="s">
        <v>74</v>
      </c>
      <c r="BA471" t="s">
        <v>74</v>
      </c>
      <c r="BB471" t="s">
        <v>74</v>
      </c>
      <c r="BC471" t="s">
        <v>74</v>
      </c>
      <c r="BD471" t="s">
        <v>7511</v>
      </c>
      <c r="BE471" t="s">
        <v>7512</v>
      </c>
      <c r="BF471" t="str">
        <f>HYPERLINK("http://dx.doi.org/10.1029/2005GL024203","http://dx.doi.org/10.1029/2005GL024203")</f>
        <v>http://dx.doi.org/10.1029/2005GL024203</v>
      </c>
      <c r="BG471" t="s">
        <v>74</v>
      </c>
      <c r="BH471" t="s">
        <v>74</v>
      </c>
      <c r="BI471">
        <v>4</v>
      </c>
      <c r="BJ471" t="s">
        <v>1129</v>
      </c>
      <c r="BK471" t="s">
        <v>98</v>
      </c>
      <c r="BL471" t="s">
        <v>1130</v>
      </c>
      <c r="BM471" t="s">
        <v>7513</v>
      </c>
      <c r="BN471" t="s">
        <v>74</v>
      </c>
      <c r="BO471" t="s">
        <v>722</v>
      </c>
      <c r="BP471" t="s">
        <v>74</v>
      </c>
      <c r="BQ471" t="s">
        <v>74</v>
      </c>
      <c r="BR471" t="s">
        <v>101</v>
      </c>
      <c r="BS471" t="s">
        <v>7514</v>
      </c>
      <c r="BT471" t="str">
        <f>HYPERLINK("https%3A%2F%2Fwww.webofscience.com%2Fwos%2Fwoscc%2Ffull-record%2FWOS:000233586500003","View Full Record in Web of Science")</f>
        <v>View Full Record in Web of Science</v>
      </c>
    </row>
    <row r="472" spans="1:72" x14ac:dyDescent="0.15">
      <c r="A472" t="s">
        <v>72</v>
      </c>
      <c r="B472" t="s">
        <v>7515</v>
      </c>
      <c r="C472" t="s">
        <v>74</v>
      </c>
      <c r="D472" t="s">
        <v>74</v>
      </c>
      <c r="E472" t="s">
        <v>74</v>
      </c>
      <c r="F472" t="s">
        <v>7515</v>
      </c>
      <c r="G472" t="s">
        <v>74</v>
      </c>
      <c r="H472" t="s">
        <v>74</v>
      </c>
      <c r="I472" t="s">
        <v>7516</v>
      </c>
      <c r="J472" t="s">
        <v>5134</v>
      </c>
      <c r="K472" t="s">
        <v>74</v>
      </c>
      <c r="L472" t="s">
        <v>74</v>
      </c>
      <c r="M472" t="s">
        <v>77</v>
      </c>
      <c r="N472" t="s">
        <v>78</v>
      </c>
      <c r="O472" t="s">
        <v>74</v>
      </c>
      <c r="P472" t="s">
        <v>74</v>
      </c>
      <c r="Q472" t="s">
        <v>74</v>
      </c>
      <c r="R472" t="s">
        <v>74</v>
      </c>
      <c r="S472" t="s">
        <v>74</v>
      </c>
      <c r="T472" t="s">
        <v>74</v>
      </c>
      <c r="U472" t="s">
        <v>7517</v>
      </c>
      <c r="V472" t="s">
        <v>7518</v>
      </c>
      <c r="W472" t="s">
        <v>7519</v>
      </c>
      <c r="X472" t="s">
        <v>7520</v>
      </c>
      <c r="Y472" t="s">
        <v>7521</v>
      </c>
      <c r="Z472" t="s">
        <v>7522</v>
      </c>
      <c r="AA472" t="s">
        <v>7523</v>
      </c>
      <c r="AB472" t="s">
        <v>7524</v>
      </c>
      <c r="AC472" t="s">
        <v>74</v>
      </c>
      <c r="AD472" t="s">
        <v>74</v>
      </c>
      <c r="AE472" t="s">
        <v>74</v>
      </c>
      <c r="AF472" t="s">
        <v>74</v>
      </c>
      <c r="AG472">
        <v>12</v>
      </c>
      <c r="AH472">
        <v>18</v>
      </c>
      <c r="AI472">
        <v>19</v>
      </c>
      <c r="AJ472">
        <v>0</v>
      </c>
      <c r="AK472">
        <v>0</v>
      </c>
      <c r="AL472" t="s">
        <v>4487</v>
      </c>
      <c r="AM472" t="s">
        <v>2541</v>
      </c>
      <c r="AN472" t="s">
        <v>4488</v>
      </c>
      <c r="AO472" t="s">
        <v>5142</v>
      </c>
      <c r="AP472" t="s">
        <v>5143</v>
      </c>
      <c r="AQ472" t="s">
        <v>74</v>
      </c>
      <c r="AR472" t="s">
        <v>5144</v>
      </c>
      <c r="AS472" t="s">
        <v>5145</v>
      </c>
      <c r="AT472" t="s">
        <v>7510</v>
      </c>
      <c r="AU472">
        <v>2005</v>
      </c>
      <c r="AV472">
        <v>32</v>
      </c>
      <c r="AW472">
        <v>22</v>
      </c>
      <c r="AX472" t="s">
        <v>74</v>
      </c>
      <c r="AY472" t="s">
        <v>74</v>
      </c>
      <c r="AZ472" t="s">
        <v>74</v>
      </c>
      <c r="BA472" t="s">
        <v>74</v>
      </c>
      <c r="BB472" t="s">
        <v>74</v>
      </c>
      <c r="BC472" t="s">
        <v>74</v>
      </c>
      <c r="BD472" t="s">
        <v>7525</v>
      </c>
      <c r="BE472" t="s">
        <v>7526</v>
      </c>
      <c r="BF472" t="str">
        <f>HYPERLINK("http://dx.doi.org/10.1029/2005GL023825","http://dx.doi.org/10.1029/2005GL023825")</f>
        <v>http://dx.doi.org/10.1029/2005GL023825</v>
      </c>
      <c r="BG472" t="s">
        <v>74</v>
      </c>
      <c r="BH472" t="s">
        <v>74</v>
      </c>
      <c r="BI472">
        <v>4</v>
      </c>
      <c r="BJ472" t="s">
        <v>1129</v>
      </c>
      <c r="BK472" t="s">
        <v>98</v>
      </c>
      <c r="BL472" t="s">
        <v>1130</v>
      </c>
      <c r="BM472" t="s">
        <v>7513</v>
      </c>
      <c r="BN472" t="s">
        <v>74</v>
      </c>
      <c r="BO472" t="s">
        <v>7527</v>
      </c>
      <c r="BP472" t="s">
        <v>74</v>
      </c>
      <c r="BQ472" t="s">
        <v>74</v>
      </c>
      <c r="BR472" t="s">
        <v>101</v>
      </c>
      <c r="BS472" t="s">
        <v>7528</v>
      </c>
      <c r="BT472" t="str">
        <f>HYPERLINK("https%3A%2F%2Fwww.webofscience.com%2Fwos%2Fwoscc%2Ffull-record%2FWOS:000233586500001","View Full Record in Web of Science")</f>
        <v>View Full Record in Web of Science</v>
      </c>
    </row>
    <row r="473" spans="1:72" x14ac:dyDescent="0.15">
      <c r="A473" t="s">
        <v>72</v>
      </c>
      <c r="B473" t="s">
        <v>7529</v>
      </c>
      <c r="C473" t="s">
        <v>74</v>
      </c>
      <c r="D473" t="s">
        <v>74</v>
      </c>
      <c r="E473" t="s">
        <v>74</v>
      </c>
      <c r="F473" t="s">
        <v>7529</v>
      </c>
      <c r="G473" t="s">
        <v>74</v>
      </c>
      <c r="H473" t="s">
        <v>74</v>
      </c>
      <c r="I473" t="s">
        <v>7530</v>
      </c>
      <c r="J473" t="s">
        <v>7531</v>
      </c>
      <c r="K473" t="s">
        <v>74</v>
      </c>
      <c r="L473" t="s">
        <v>74</v>
      </c>
      <c r="M473" t="s">
        <v>77</v>
      </c>
      <c r="N473" t="s">
        <v>78</v>
      </c>
      <c r="O473" t="s">
        <v>74</v>
      </c>
      <c r="P473" t="s">
        <v>74</v>
      </c>
      <c r="Q473" t="s">
        <v>74</v>
      </c>
      <c r="R473" t="s">
        <v>74</v>
      </c>
      <c r="S473" t="s">
        <v>74</v>
      </c>
      <c r="T473" t="s">
        <v>74</v>
      </c>
      <c r="U473" t="s">
        <v>7532</v>
      </c>
      <c r="V473" t="s">
        <v>7533</v>
      </c>
      <c r="W473" t="s">
        <v>7534</v>
      </c>
      <c r="X473" t="s">
        <v>7535</v>
      </c>
      <c r="Y473" t="s">
        <v>7536</v>
      </c>
      <c r="Z473" t="s">
        <v>7537</v>
      </c>
      <c r="AA473" t="s">
        <v>74</v>
      </c>
      <c r="AB473" t="s">
        <v>7538</v>
      </c>
      <c r="AC473" t="s">
        <v>7539</v>
      </c>
      <c r="AD473" t="s">
        <v>1015</v>
      </c>
      <c r="AE473" t="s">
        <v>74</v>
      </c>
      <c r="AF473" t="s">
        <v>74</v>
      </c>
      <c r="AG473">
        <v>62</v>
      </c>
      <c r="AH473">
        <v>69</v>
      </c>
      <c r="AI473">
        <v>72</v>
      </c>
      <c r="AJ473">
        <v>2</v>
      </c>
      <c r="AK473">
        <v>9</v>
      </c>
      <c r="AL473" t="s">
        <v>4487</v>
      </c>
      <c r="AM473" t="s">
        <v>2541</v>
      </c>
      <c r="AN473" t="s">
        <v>4488</v>
      </c>
      <c r="AO473" t="s">
        <v>7540</v>
      </c>
      <c r="AP473" t="s">
        <v>7541</v>
      </c>
      <c r="AQ473" t="s">
        <v>74</v>
      </c>
      <c r="AR473" t="s">
        <v>7542</v>
      </c>
      <c r="AS473" t="s">
        <v>7543</v>
      </c>
      <c r="AT473" t="s">
        <v>7510</v>
      </c>
      <c r="AU473">
        <v>2005</v>
      </c>
      <c r="AV473">
        <v>110</v>
      </c>
      <c r="AW473" t="s">
        <v>7544</v>
      </c>
      <c r="AX473" t="s">
        <v>74</v>
      </c>
      <c r="AY473" t="s">
        <v>74</v>
      </c>
      <c r="AZ473" t="s">
        <v>74</v>
      </c>
      <c r="BA473" t="s">
        <v>74</v>
      </c>
      <c r="BB473" t="s">
        <v>74</v>
      </c>
      <c r="BC473" t="s">
        <v>74</v>
      </c>
      <c r="BD473" t="s">
        <v>7545</v>
      </c>
      <c r="BE473" t="s">
        <v>7546</v>
      </c>
      <c r="BF473" t="str">
        <f>HYPERLINK("http://dx.doi.org/10.1029/2005JB003619","http://dx.doi.org/10.1029/2005JB003619")</f>
        <v>http://dx.doi.org/10.1029/2005JB003619</v>
      </c>
      <c r="BG473" t="s">
        <v>74</v>
      </c>
      <c r="BH473" t="s">
        <v>74</v>
      </c>
      <c r="BI473">
        <v>13</v>
      </c>
      <c r="BJ473" t="s">
        <v>1348</v>
      </c>
      <c r="BK473" t="s">
        <v>98</v>
      </c>
      <c r="BL473" t="s">
        <v>1348</v>
      </c>
      <c r="BM473" t="s">
        <v>7547</v>
      </c>
      <c r="BN473" t="s">
        <v>74</v>
      </c>
      <c r="BO473" t="s">
        <v>7548</v>
      </c>
      <c r="BP473" t="s">
        <v>74</v>
      </c>
      <c r="BQ473" t="s">
        <v>74</v>
      </c>
      <c r="BR473" t="s">
        <v>101</v>
      </c>
      <c r="BS473" t="s">
        <v>7549</v>
      </c>
      <c r="BT473" t="str">
        <f>HYPERLINK("https%3A%2F%2Fwww.webofscience.com%2Fwos%2Fwoscc%2Ffull-record%2FWOS:000233588500002","View Full Record in Web of Science")</f>
        <v>View Full Record in Web of Science</v>
      </c>
    </row>
    <row r="474" spans="1:72" x14ac:dyDescent="0.15">
      <c r="A474" t="s">
        <v>72</v>
      </c>
      <c r="B474" t="s">
        <v>7550</v>
      </c>
      <c r="C474" t="s">
        <v>74</v>
      </c>
      <c r="D474" t="s">
        <v>74</v>
      </c>
      <c r="E474" t="s">
        <v>74</v>
      </c>
      <c r="F474" t="s">
        <v>7550</v>
      </c>
      <c r="G474" t="s">
        <v>74</v>
      </c>
      <c r="H474" t="s">
        <v>74</v>
      </c>
      <c r="I474" t="s">
        <v>7551</v>
      </c>
      <c r="J474" t="s">
        <v>7407</v>
      </c>
      <c r="K474" t="s">
        <v>74</v>
      </c>
      <c r="L474" t="s">
        <v>74</v>
      </c>
      <c r="M474" t="s">
        <v>77</v>
      </c>
      <c r="N474" t="s">
        <v>78</v>
      </c>
      <c r="O474" t="s">
        <v>74</v>
      </c>
      <c r="P474" t="s">
        <v>74</v>
      </c>
      <c r="Q474" t="s">
        <v>74</v>
      </c>
      <c r="R474" t="s">
        <v>74</v>
      </c>
      <c r="S474" t="s">
        <v>74</v>
      </c>
      <c r="T474" t="s">
        <v>74</v>
      </c>
      <c r="U474" t="s">
        <v>7552</v>
      </c>
      <c r="V474" t="s">
        <v>7553</v>
      </c>
      <c r="W474" t="s">
        <v>7554</v>
      </c>
      <c r="X474" t="s">
        <v>7555</v>
      </c>
      <c r="Y474" t="s">
        <v>7556</v>
      </c>
      <c r="Z474" t="s">
        <v>7557</v>
      </c>
      <c r="AA474" t="s">
        <v>7558</v>
      </c>
      <c r="AB474" t="s">
        <v>7559</v>
      </c>
      <c r="AC474" t="s">
        <v>74</v>
      </c>
      <c r="AD474" t="s">
        <v>74</v>
      </c>
      <c r="AE474" t="s">
        <v>74</v>
      </c>
      <c r="AF474" t="s">
        <v>74</v>
      </c>
      <c r="AG474">
        <v>63</v>
      </c>
      <c r="AH474">
        <v>83</v>
      </c>
      <c r="AI474">
        <v>88</v>
      </c>
      <c r="AJ474">
        <v>0</v>
      </c>
      <c r="AK474">
        <v>19</v>
      </c>
      <c r="AL474" t="s">
        <v>431</v>
      </c>
      <c r="AM474" t="s">
        <v>432</v>
      </c>
      <c r="AN474" t="s">
        <v>433</v>
      </c>
      <c r="AO474" t="s">
        <v>7416</v>
      </c>
      <c r="AP474" t="s">
        <v>7417</v>
      </c>
      <c r="AQ474" t="s">
        <v>74</v>
      </c>
      <c r="AR474" t="s">
        <v>7418</v>
      </c>
      <c r="AS474" t="s">
        <v>7419</v>
      </c>
      <c r="AT474" t="s">
        <v>7560</v>
      </c>
      <c r="AU474">
        <v>2005</v>
      </c>
      <c r="AV474">
        <v>5</v>
      </c>
      <c r="AW474" t="s">
        <v>74</v>
      </c>
      <c r="AX474" t="s">
        <v>74</v>
      </c>
      <c r="AY474" t="s">
        <v>74</v>
      </c>
      <c r="AZ474" t="s">
        <v>74</v>
      </c>
      <c r="BA474" t="s">
        <v>74</v>
      </c>
      <c r="BB474">
        <v>3053</v>
      </c>
      <c r="BC474">
        <v>3069</v>
      </c>
      <c r="BD474" t="s">
        <v>74</v>
      </c>
      <c r="BE474" t="s">
        <v>7561</v>
      </c>
      <c r="BF474" t="str">
        <f>HYPERLINK("http://dx.doi.org/10.5194/acp-5-3053-2005","http://dx.doi.org/10.5194/acp-5-3053-2005")</f>
        <v>http://dx.doi.org/10.5194/acp-5-3053-2005</v>
      </c>
      <c r="BG474" t="s">
        <v>74</v>
      </c>
      <c r="BH474" t="s">
        <v>74</v>
      </c>
      <c r="BI474">
        <v>17</v>
      </c>
      <c r="BJ474" t="s">
        <v>6080</v>
      </c>
      <c r="BK474" t="s">
        <v>98</v>
      </c>
      <c r="BL474" t="s">
        <v>6081</v>
      </c>
      <c r="BM474" t="s">
        <v>7562</v>
      </c>
      <c r="BN474" t="s">
        <v>74</v>
      </c>
      <c r="BO474" t="s">
        <v>7563</v>
      </c>
      <c r="BP474" t="s">
        <v>74</v>
      </c>
      <c r="BQ474" t="s">
        <v>74</v>
      </c>
      <c r="BR474" t="s">
        <v>101</v>
      </c>
      <c r="BS474" t="s">
        <v>7564</v>
      </c>
      <c r="BT474" t="str">
        <f>HYPERLINK("https%3A%2F%2Fwww.webofscience.com%2Fwos%2Fwoscc%2Ffull-record%2FWOS:000233317600002","View Full Record in Web of Science")</f>
        <v>View Full Record in Web of Science</v>
      </c>
    </row>
    <row r="475" spans="1:72" x14ac:dyDescent="0.15">
      <c r="A475" t="s">
        <v>72</v>
      </c>
      <c r="B475" t="s">
        <v>7565</v>
      </c>
      <c r="C475" t="s">
        <v>74</v>
      </c>
      <c r="D475" t="s">
        <v>74</v>
      </c>
      <c r="E475" t="s">
        <v>74</v>
      </c>
      <c r="F475" t="s">
        <v>7565</v>
      </c>
      <c r="G475" t="s">
        <v>74</v>
      </c>
      <c r="H475" t="s">
        <v>74</v>
      </c>
      <c r="I475" t="s">
        <v>7566</v>
      </c>
      <c r="J475" t="s">
        <v>5339</v>
      </c>
      <c r="K475" t="s">
        <v>74</v>
      </c>
      <c r="L475" t="s">
        <v>74</v>
      </c>
      <c r="M475" t="s">
        <v>77</v>
      </c>
      <c r="N475" t="s">
        <v>78</v>
      </c>
      <c r="O475" t="s">
        <v>74</v>
      </c>
      <c r="P475" t="s">
        <v>74</v>
      </c>
      <c r="Q475" t="s">
        <v>74</v>
      </c>
      <c r="R475" t="s">
        <v>74</v>
      </c>
      <c r="S475" t="s">
        <v>74</v>
      </c>
      <c r="T475" t="s">
        <v>7567</v>
      </c>
      <c r="U475" t="s">
        <v>7568</v>
      </c>
      <c r="V475" t="s">
        <v>7569</v>
      </c>
      <c r="W475" t="s">
        <v>7570</v>
      </c>
      <c r="X475" t="s">
        <v>7571</v>
      </c>
      <c r="Y475" t="s">
        <v>7572</v>
      </c>
      <c r="Z475" t="s">
        <v>7573</v>
      </c>
      <c r="AA475" t="s">
        <v>7574</v>
      </c>
      <c r="AB475" t="s">
        <v>7575</v>
      </c>
      <c r="AC475" t="s">
        <v>74</v>
      </c>
      <c r="AD475" t="s">
        <v>74</v>
      </c>
      <c r="AE475" t="s">
        <v>74</v>
      </c>
      <c r="AF475" t="s">
        <v>74</v>
      </c>
      <c r="AG475">
        <v>57</v>
      </c>
      <c r="AH475">
        <v>74</v>
      </c>
      <c r="AI475">
        <v>80</v>
      </c>
      <c r="AJ475">
        <v>0</v>
      </c>
      <c r="AK475">
        <v>18</v>
      </c>
      <c r="AL475" t="s">
        <v>3283</v>
      </c>
      <c r="AM475" t="s">
        <v>1148</v>
      </c>
      <c r="AN475" t="s">
        <v>3284</v>
      </c>
      <c r="AO475" t="s">
        <v>5349</v>
      </c>
      <c r="AP475" t="s">
        <v>5350</v>
      </c>
      <c r="AQ475" t="s">
        <v>74</v>
      </c>
      <c r="AR475" t="s">
        <v>5351</v>
      </c>
      <c r="AS475" t="s">
        <v>5352</v>
      </c>
      <c r="AT475" t="s">
        <v>7560</v>
      </c>
      <c r="AU475">
        <v>2005</v>
      </c>
      <c r="AV475">
        <v>239</v>
      </c>
      <c r="AW475" t="s">
        <v>530</v>
      </c>
      <c r="AX475" t="s">
        <v>74</v>
      </c>
      <c r="AY475" t="s">
        <v>74</v>
      </c>
      <c r="AZ475" t="s">
        <v>74</v>
      </c>
      <c r="BA475" t="s">
        <v>74</v>
      </c>
      <c r="BB475">
        <v>253</v>
      </c>
      <c r="BC475">
        <v>265</v>
      </c>
      <c r="BD475" t="s">
        <v>74</v>
      </c>
      <c r="BE475" t="s">
        <v>7576</v>
      </c>
      <c r="BF475" t="str">
        <f>HYPERLINK("http://dx.doi.org/10.1016/j.epsl.2005.09.005","http://dx.doi.org/10.1016/j.epsl.2005.09.005")</f>
        <v>http://dx.doi.org/10.1016/j.epsl.2005.09.005</v>
      </c>
      <c r="BG475" t="s">
        <v>74</v>
      </c>
      <c r="BH475" t="s">
        <v>74</v>
      </c>
      <c r="BI475">
        <v>13</v>
      </c>
      <c r="BJ475" t="s">
        <v>1348</v>
      </c>
      <c r="BK475" t="s">
        <v>98</v>
      </c>
      <c r="BL475" t="s">
        <v>1348</v>
      </c>
      <c r="BM475" t="s">
        <v>7577</v>
      </c>
      <c r="BN475" t="s">
        <v>74</v>
      </c>
      <c r="BO475" t="s">
        <v>74</v>
      </c>
      <c r="BP475" t="s">
        <v>74</v>
      </c>
      <c r="BQ475" t="s">
        <v>74</v>
      </c>
      <c r="BR475" t="s">
        <v>101</v>
      </c>
      <c r="BS475" t="s">
        <v>7578</v>
      </c>
      <c r="BT475" t="str">
        <f>HYPERLINK("https%3A%2F%2Fwww.webofscience.com%2Fwos%2Fwoscc%2Ffull-record%2FWOS:000233323400006","View Full Record in Web of Science")</f>
        <v>View Full Record in Web of Science</v>
      </c>
    </row>
    <row r="476" spans="1:72" x14ac:dyDescent="0.15">
      <c r="A476" t="s">
        <v>72</v>
      </c>
      <c r="B476" t="s">
        <v>7579</v>
      </c>
      <c r="C476" t="s">
        <v>74</v>
      </c>
      <c r="D476" t="s">
        <v>74</v>
      </c>
      <c r="E476" t="s">
        <v>74</v>
      </c>
      <c r="F476" t="s">
        <v>7579</v>
      </c>
      <c r="G476" t="s">
        <v>74</v>
      </c>
      <c r="H476" t="s">
        <v>74</v>
      </c>
      <c r="I476" t="s">
        <v>7580</v>
      </c>
      <c r="J476" t="s">
        <v>1472</v>
      </c>
      <c r="K476" t="s">
        <v>74</v>
      </c>
      <c r="L476" t="s">
        <v>74</v>
      </c>
      <c r="M476" t="s">
        <v>77</v>
      </c>
      <c r="N476" t="s">
        <v>78</v>
      </c>
      <c r="O476" t="s">
        <v>74</v>
      </c>
      <c r="P476" t="s">
        <v>74</v>
      </c>
      <c r="Q476" t="s">
        <v>74</v>
      </c>
      <c r="R476" t="s">
        <v>74</v>
      </c>
      <c r="S476" t="s">
        <v>74</v>
      </c>
      <c r="T476" t="s">
        <v>74</v>
      </c>
      <c r="U476" t="s">
        <v>7581</v>
      </c>
      <c r="V476" t="s">
        <v>7582</v>
      </c>
      <c r="W476" t="s">
        <v>7583</v>
      </c>
      <c r="X476" t="s">
        <v>7584</v>
      </c>
      <c r="Y476" t="s">
        <v>7585</v>
      </c>
      <c r="Z476" t="s">
        <v>7586</v>
      </c>
      <c r="AA476" t="s">
        <v>7587</v>
      </c>
      <c r="AB476" t="s">
        <v>7588</v>
      </c>
      <c r="AC476" t="s">
        <v>74</v>
      </c>
      <c r="AD476" t="s">
        <v>74</v>
      </c>
      <c r="AE476" t="s">
        <v>74</v>
      </c>
      <c r="AF476" t="s">
        <v>74</v>
      </c>
      <c r="AG476">
        <v>59</v>
      </c>
      <c r="AH476">
        <v>68</v>
      </c>
      <c r="AI476">
        <v>68</v>
      </c>
      <c r="AJ476">
        <v>0</v>
      </c>
      <c r="AK476">
        <v>20</v>
      </c>
      <c r="AL476" t="s">
        <v>622</v>
      </c>
      <c r="AM476" t="s">
        <v>140</v>
      </c>
      <c r="AN476" t="s">
        <v>623</v>
      </c>
      <c r="AO476" t="s">
        <v>1481</v>
      </c>
      <c r="AP476" t="s">
        <v>1482</v>
      </c>
      <c r="AQ476" t="s">
        <v>74</v>
      </c>
      <c r="AR476" t="s">
        <v>1483</v>
      </c>
      <c r="AS476" t="s">
        <v>1484</v>
      </c>
      <c r="AT476" t="s">
        <v>7560</v>
      </c>
      <c r="AU476">
        <v>2005</v>
      </c>
      <c r="AV476">
        <v>69</v>
      </c>
      <c r="AW476">
        <v>22</v>
      </c>
      <c r="AX476" t="s">
        <v>74</v>
      </c>
      <c r="AY476" t="s">
        <v>74</v>
      </c>
      <c r="AZ476" t="s">
        <v>74</v>
      </c>
      <c r="BA476" t="s">
        <v>74</v>
      </c>
      <c r="BB476">
        <v>5365</v>
      </c>
      <c r="BC476">
        <v>5385</v>
      </c>
      <c r="BD476" t="s">
        <v>74</v>
      </c>
      <c r="BE476" t="s">
        <v>7589</v>
      </c>
      <c r="BF476" t="str">
        <f>HYPERLINK("http://dx.doi.org/10.1016/j.gca.2005.07.002","http://dx.doi.org/10.1016/j.gca.2005.07.002")</f>
        <v>http://dx.doi.org/10.1016/j.gca.2005.07.002</v>
      </c>
      <c r="BG476" t="s">
        <v>74</v>
      </c>
      <c r="BH476" t="s">
        <v>74</v>
      </c>
      <c r="BI476">
        <v>21</v>
      </c>
      <c r="BJ476" t="s">
        <v>1348</v>
      </c>
      <c r="BK476" t="s">
        <v>98</v>
      </c>
      <c r="BL476" t="s">
        <v>1348</v>
      </c>
      <c r="BM476" t="s">
        <v>7590</v>
      </c>
      <c r="BN476" t="s">
        <v>74</v>
      </c>
      <c r="BO476" t="s">
        <v>74</v>
      </c>
      <c r="BP476" t="s">
        <v>74</v>
      </c>
      <c r="BQ476" t="s">
        <v>74</v>
      </c>
      <c r="BR476" t="s">
        <v>101</v>
      </c>
      <c r="BS476" t="s">
        <v>7591</v>
      </c>
      <c r="BT476" t="str">
        <f>HYPERLINK("https%3A%2F%2Fwww.webofscience.com%2Fwos%2Fwoscc%2Ffull-record%2FWOS:000234417400014","View Full Record in Web of Science")</f>
        <v>View Full Record in Web of Science</v>
      </c>
    </row>
    <row r="477" spans="1:72" x14ac:dyDescent="0.15">
      <c r="A477" t="s">
        <v>72</v>
      </c>
      <c r="B477" t="s">
        <v>7592</v>
      </c>
      <c r="C477" t="s">
        <v>74</v>
      </c>
      <c r="D477" t="s">
        <v>74</v>
      </c>
      <c r="E477" t="s">
        <v>74</v>
      </c>
      <c r="F477" t="s">
        <v>7592</v>
      </c>
      <c r="G477" t="s">
        <v>74</v>
      </c>
      <c r="H477" t="s">
        <v>74</v>
      </c>
      <c r="I477" t="s">
        <v>7593</v>
      </c>
      <c r="J477" t="s">
        <v>7594</v>
      </c>
      <c r="K477" t="s">
        <v>74</v>
      </c>
      <c r="L477" t="s">
        <v>74</v>
      </c>
      <c r="M477" t="s">
        <v>77</v>
      </c>
      <c r="N477" t="s">
        <v>335</v>
      </c>
      <c r="O477" t="s">
        <v>7595</v>
      </c>
      <c r="P477" t="s">
        <v>7596</v>
      </c>
      <c r="Q477" t="s">
        <v>7597</v>
      </c>
      <c r="R477" t="s">
        <v>74</v>
      </c>
      <c r="S477" t="s">
        <v>74</v>
      </c>
      <c r="T477" t="s">
        <v>7598</v>
      </c>
      <c r="U477" t="s">
        <v>7599</v>
      </c>
      <c r="V477" t="s">
        <v>7600</v>
      </c>
      <c r="W477" t="s">
        <v>7601</v>
      </c>
      <c r="X477" t="s">
        <v>7602</v>
      </c>
      <c r="Y477" t="s">
        <v>7603</v>
      </c>
      <c r="Z477" t="s">
        <v>7604</v>
      </c>
      <c r="AA477" t="s">
        <v>7605</v>
      </c>
      <c r="AB477" t="s">
        <v>74</v>
      </c>
      <c r="AC477" t="s">
        <v>74</v>
      </c>
      <c r="AD477" t="s">
        <v>74</v>
      </c>
      <c r="AE477" t="s">
        <v>74</v>
      </c>
      <c r="AF477" t="s">
        <v>74</v>
      </c>
      <c r="AG477">
        <v>33</v>
      </c>
      <c r="AH477">
        <v>97</v>
      </c>
      <c r="AI477">
        <v>112</v>
      </c>
      <c r="AJ477">
        <v>0</v>
      </c>
      <c r="AK477">
        <v>8</v>
      </c>
      <c r="AL477" t="s">
        <v>4460</v>
      </c>
      <c r="AM477" t="s">
        <v>4461</v>
      </c>
      <c r="AN477" t="s">
        <v>4462</v>
      </c>
      <c r="AO477" t="s">
        <v>7606</v>
      </c>
      <c r="AP477" t="s">
        <v>74</v>
      </c>
      <c r="AQ477" t="s">
        <v>74</v>
      </c>
      <c r="AR477" t="s">
        <v>7607</v>
      </c>
      <c r="AS477" t="s">
        <v>7608</v>
      </c>
      <c r="AT477" t="s">
        <v>7560</v>
      </c>
      <c r="AU477">
        <v>2005</v>
      </c>
      <c r="AV477">
        <v>19</v>
      </c>
      <c r="AW477">
        <v>17</v>
      </c>
      <c r="AX477" t="s">
        <v>74</v>
      </c>
      <c r="AY477" t="s">
        <v>74</v>
      </c>
      <c r="AZ477" t="s">
        <v>74</v>
      </c>
      <c r="BA477" t="s">
        <v>74</v>
      </c>
      <c r="BB477">
        <v>3425</v>
      </c>
      <c r="BC477">
        <v>3444</v>
      </c>
      <c r="BD477" t="s">
        <v>74</v>
      </c>
      <c r="BE477" t="s">
        <v>7609</v>
      </c>
      <c r="BF477" t="str">
        <f>HYPERLINK("http://dx.doi.org/10.1002/hyp.5979","http://dx.doi.org/10.1002/hyp.5979")</f>
        <v>http://dx.doi.org/10.1002/hyp.5979</v>
      </c>
      <c r="BG477" t="s">
        <v>74</v>
      </c>
      <c r="BH477" t="s">
        <v>74</v>
      </c>
      <c r="BI477">
        <v>20</v>
      </c>
      <c r="BJ477" t="s">
        <v>6309</v>
      </c>
      <c r="BK477" t="s">
        <v>356</v>
      </c>
      <c r="BL477" t="s">
        <v>6309</v>
      </c>
      <c r="BM477" t="s">
        <v>7610</v>
      </c>
      <c r="BN477" t="s">
        <v>74</v>
      </c>
      <c r="BO477" t="s">
        <v>74</v>
      </c>
      <c r="BP477" t="s">
        <v>74</v>
      </c>
      <c r="BQ477" t="s">
        <v>74</v>
      </c>
      <c r="BR477" t="s">
        <v>101</v>
      </c>
      <c r="BS477" t="s">
        <v>7611</v>
      </c>
      <c r="BT477" t="str">
        <f>HYPERLINK("https%3A%2F%2Fwww.webofscience.com%2Fwos%2Fwoscc%2Ffull-record%2FWOS:000233511700012","View Full Record in Web of Science")</f>
        <v>View Full Record in Web of Science</v>
      </c>
    </row>
    <row r="478" spans="1:72" x14ac:dyDescent="0.15">
      <c r="A478" t="s">
        <v>72</v>
      </c>
      <c r="B478" t="s">
        <v>7612</v>
      </c>
      <c r="C478" t="s">
        <v>74</v>
      </c>
      <c r="D478" t="s">
        <v>74</v>
      </c>
      <c r="E478" t="s">
        <v>74</v>
      </c>
      <c r="F478" t="s">
        <v>7612</v>
      </c>
      <c r="G478" t="s">
        <v>74</v>
      </c>
      <c r="H478" t="s">
        <v>74</v>
      </c>
      <c r="I478" t="s">
        <v>7613</v>
      </c>
      <c r="J478" t="s">
        <v>7614</v>
      </c>
      <c r="K478" t="s">
        <v>74</v>
      </c>
      <c r="L478" t="s">
        <v>74</v>
      </c>
      <c r="M478" t="s">
        <v>77</v>
      </c>
      <c r="N478" t="s">
        <v>78</v>
      </c>
      <c r="O478" t="s">
        <v>74</v>
      </c>
      <c r="P478" t="s">
        <v>74</v>
      </c>
      <c r="Q478" t="s">
        <v>74</v>
      </c>
      <c r="R478" t="s">
        <v>74</v>
      </c>
      <c r="S478" t="s">
        <v>74</v>
      </c>
      <c r="T478" t="s">
        <v>7615</v>
      </c>
      <c r="U478" t="s">
        <v>7616</v>
      </c>
      <c r="V478" t="s">
        <v>7617</v>
      </c>
      <c r="W478" t="s">
        <v>7618</v>
      </c>
      <c r="X478" t="s">
        <v>7619</v>
      </c>
      <c r="Y478" t="s">
        <v>7620</v>
      </c>
      <c r="Z478" t="s">
        <v>7621</v>
      </c>
      <c r="AA478" t="s">
        <v>74</v>
      </c>
      <c r="AB478" t="s">
        <v>74</v>
      </c>
      <c r="AC478" t="s">
        <v>74</v>
      </c>
      <c r="AD478" t="s">
        <v>74</v>
      </c>
      <c r="AE478" t="s">
        <v>74</v>
      </c>
      <c r="AF478" t="s">
        <v>74</v>
      </c>
      <c r="AG478">
        <v>29</v>
      </c>
      <c r="AH478">
        <v>11</v>
      </c>
      <c r="AI478">
        <v>11</v>
      </c>
      <c r="AJ478">
        <v>0</v>
      </c>
      <c r="AK478">
        <v>3</v>
      </c>
      <c r="AL478" t="s">
        <v>3283</v>
      </c>
      <c r="AM478" t="s">
        <v>1148</v>
      </c>
      <c r="AN478" t="s">
        <v>3284</v>
      </c>
      <c r="AO478" t="s">
        <v>7622</v>
      </c>
      <c r="AP478" t="s">
        <v>7623</v>
      </c>
      <c r="AQ478" t="s">
        <v>74</v>
      </c>
      <c r="AR478" t="s">
        <v>7624</v>
      </c>
      <c r="AS478" t="s">
        <v>7625</v>
      </c>
      <c r="AT478" t="s">
        <v>7560</v>
      </c>
      <c r="AU478">
        <v>2005</v>
      </c>
      <c r="AV478">
        <v>357</v>
      </c>
      <c r="AW478" t="s">
        <v>530</v>
      </c>
      <c r="AX478" t="s">
        <v>74</v>
      </c>
      <c r="AY478" t="s">
        <v>74</v>
      </c>
      <c r="AZ478" t="s">
        <v>74</v>
      </c>
      <c r="BA478" t="s">
        <v>74</v>
      </c>
      <c r="BB478">
        <v>556</v>
      </c>
      <c r="BC478">
        <v>564</v>
      </c>
      <c r="BD478" t="s">
        <v>74</v>
      </c>
      <c r="BE478" t="s">
        <v>7626</v>
      </c>
      <c r="BF478" t="str">
        <f>HYPERLINK("http://dx.doi.org/10.1016/j.physa.2005.04.009","http://dx.doi.org/10.1016/j.physa.2005.04.009")</f>
        <v>http://dx.doi.org/10.1016/j.physa.2005.04.009</v>
      </c>
      <c r="BG478" t="s">
        <v>74</v>
      </c>
      <c r="BH478" t="s">
        <v>74</v>
      </c>
      <c r="BI478">
        <v>9</v>
      </c>
      <c r="BJ478" t="s">
        <v>7627</v>
      </c>
      <c r="BK478" t="s">
        <v>98</v>
      </c>
      <c r="BL478" t="s">
        <v>3899</v>
      </c>
      <c r="BM478" t="s">
        <v>7628</v>
      </c>
      <c r="BN478" t="s">
        <v>74</v>
      </c>
      <c r="BO478" t="s">
        <v>74</v>
      </c>
      <c r="BP478" t="s">
        <v>74</v>
      </c>
      <c r="BQ478" t="s">
        <v>74</v>
      </c>
      <c r="BR478" t="s">
        <v>101</v>
      </c>
      <c r="BS478" t="s">
        <v>7629</v>
      </c>
      <c r="BT478" t="str">
        <f>HYPERLINK("https%3A%2F%2Fwww.webofscience.com%2Fwos%2Fwoscc%2Ffull-record%2FWOS:000232235900017","View Full Record in Web of Science")</f>
        <v>View Full Record in Web of Science</v>
      </c>
    </row>
    <row r="479" spans="1:72" x14ac:dyDescent="0.15">
      <c r="A479" t="s">
        <v>72</v>
      </c>
      <c r="B479" t="s">
        <v>7630</v>
      </c>
      <c r="C479" t="s">
        <v>74</v>
      </c>
      <c r="D479" t="s">
        <v>74</v>
      </c>
      <c r="E479" t="s">
        <v>74</v>
      </c>
      <c r="F479" t="s">
        <v>7630</v>
      </c>
      <c r="G479" t="s">
        <v>74</v>
      </c>
      <c r="H479" t="s">
        <v>74</v>
      </c>
      <c r="I479" t="s">
        <v>7631</v>
      </c>
      <c r="J479" t="s">
        <v>7632</v>
      </c>
      <c r="K479" t="s">
        <v>74</v>
      </c>
      <c r="L479" t="s">
        <v>74</v>
      </c>
      <c r="M479" t="s">
        <v>77</v>
      </c>
      <c r="N479" t="s">
        <v>78</v>
      </c>
      <c r="O479" t="s">
        <v>74</v>
      </c>
      <c r="P479" t="s">
        <v>74</v>
      </c>
      <c r="Q479" t="s">
        <v>74</v>
      </c>
      <c r="R479" t="s">
        <v>74</v>
      </c>
      <c r="S479" t="s">
        <v>74</v>
      </c>
      <c r="T479" t="s">
        <v>7633</v>
      </c>
      <c r="U479" t="s">
        <v>7634</v>
      </c>
      <c r="V479" t="s">
        <v>7635</v>
      </c>
      <c r="W479" t="s">
        <v>7636</v>
      </c>
      <c r="X479" t="s">
        <v>7637</v>
      </c>
      <c r="Y479" t="s">
        <v>7638</v>
      </c>
      <c r="Z479" t="s">
        <v>7639</v>
      </c>
      <c r="AA479" t="s">
        <v>7640</v>
      </c>
      <c r="AB479" t="s">
        <v>7641</v>
      </c>
      <c r="AC479" t="s">
        <v>74</v>
      </c>
      <c r="AD479" t="s">
        <v>74</v>
      </c>
      <c r="AE479" t="s">
        <v>74</v>
      </c>
      <c r="AF479" t="s">
        <v>74</v>
      </c>
      <c r="AG479">
        <v>40</v>
      </c>
      <c r="AH479">
        <v>48</v>
      </c>
      <c r="AI479">
        <v>55</v>
      </c>
      <c r="AJ479">
        <v>0</v>
      </c>
      <c r="AK479">
        <v>23</v>
      </c>
      <c r="AL479" t="s">
        <v>7642</v>
      </c>
      <c r="AM479" t="s">
        <v>2541</v>
      </c>
      <c r="AN479" t="s">
        <v>7643</v>
      </c>
      <c r="AO479" t="s">
        <v>7644</v>
      </c>
      <c r="AP479" t="s">
        <v>74</v>
      </c>
      <c r="AQ479" t="s">
        <v>74</v>
      </c>
      <c r="AR479" t="s">
        <v>7645</v>
      </c>
      <c r="AS479" t="s">
        <v>7646</v>
      </c>
      <c r="AT479" t="s">
        <v>7560</v>
      </c>
      <c r="AU479">
        <v>2005</v>
      </c>
      <c r="AV479">
        <v>102</v>
      </c>
      <c r="AW479">
        <v>46</v>
      </c>
      <c r="AX479" t="s">
        <v>74</v>
      </c>
      <c r="AY479" t="s">
        <v>74</v>
      </c>
      <c r="AZ479" t="s">
        <v>74</v>
      </c>
      <c r="BA479" t="s">
        <v>74</v>
      </c>
      <c r="BB479">
        <v>16717</v>
      </c>
      <c r="BC479">
        <v>16722</v>
      </c>
      <c r="BD479" t="s">
        <v>74</v>
      </c>
      <c r="BE479" t="s">
        <v>7647</v>
      </c>
      <c r="BF479" t="str">
        <f>HYPERLINK("http://dx.doi.org/10.1073/pnas.0502281102","http://dx.doi.org/10.1073/pnas.0502281102")</f>
        <v>http://dx.doi.org/10.1073/pnas.0502281102</v>
      </c>
      <c r="BG479" t="s">
        <v>74</v>
      </c>
      <c r="BH479" t="s">
        <v>74</v>
      </c>
      <c r="BI479">
        <v>6</v>
      </c>
      <c r="BJ479" t="s">
        <v>3495</v>
      </c>
      <c r="BK479" t="s">
        <v>98</v>
      </c>
      <c r="BL479" t="s">
        <v>3496</v>
      </c>
      <c r="BM479" t="s">
        <v>7648</v>
      </c>
      <c r="BN479">
        <v>16275908</v>
      </c>
      <c r="BO479" t="s">
        <v>722</v>
      </c>
      <c r="BP479" t="s">
        <v>74</v>
      </c>
      <c r="BQ479" t="s">
        <v>74</v>
      </c>
      <c r="BR479" t="s">
        <v>101</v>
      </c>
      <c r="BS479" t="s">
        <v>7649</v>
      </c>
      <c r="BT479" t="str">
        <f>HYPERLINK("https%3A%2F%2Fwww.webofscience.com%2Fwos%2Fwoscc%2Ffull-record%2FWOS:000233462900036","View Full Record in Web of Science")</f>
        <v>View Full Record in Web of Science</v>
      </c>
    </row>
    <row r="480" spans="1:72" x14ac:dyDescent="0.15">
      <c r="A480" t="s">
        <v>72</v>
      </c>
      <c r="B480" t="s">
        <v>7650</v>
      </c>
      <c r="C480" t="s">
        <v>74</v>
      </c>
      <c r="D480" t="s">
        <v>74</v>
      </c>
      <c r="E480" t="s">
        <v>74</v>
      </c>
      <c r="F480" t="s">
        <v>7650</v>
      </c>
      <c r="G480" t="s">
        <v>74</v>
      </c>
      <c r="H480" t="s">
        <v>74</v>
      </c>
      <c r="I480" t="s">
        <v>7651</v>
      </c>
      <c r="J480" t="s">
        <v>7652</v>
      </c>
      <c r="K480" t="s">
        <v>74</v>
      </c>
      <c r="L480" t="s">
        <v>74</v>
      </c>
      <c r="M480" t="s">
        <v>77</v>
      </c>
      <c r="N480" t="s">
        <v>78</v>
      </c>
      <c r="O480" t="s">
        <v>74</v>
      </c>
      <c r="P480" t="s">
        <v>74</v>
      </c>
      <c r="Q480" t="s">
        <v>74</v>
      </c>
      <c r="R480" t="s">
        <v>74</v>
      </c>
      <c r="S480" t="s">
        <v>74</v>
      </c>
      <c r="T480" t="s">
        <v>74</v>
      </c>
      <c r="U480" t="s">
        <v>7653</v>
      </c>
      <c r="V480" t="s">
        <v>7654</v>
      </c>
      <c r="W480" t="s">
        <v>7655</v>
      </c>
      <c r="X480" t="s">
        <v>788</v>
      </c>
      <c r="Y480" t="s">
        <v>7656</v>
      </c>
      <c r="Z480" t="s">
        <v>7657</v>
      </c>
      <c r="AA480" t="s">
        <v>74</v>
      </c>
      <c r="AB480" t="s">
        <v>74</v>
      </c>
      <c r="AC480" t="s">
        <v>74</v>
      </c>
      <c r="AD480" t="s">
        <v>74</v>
      </c>
      <c r="AE480" t="s">
        <v>74</v>
      </c>
      <c r="AF480" t="s">
        <v>74</v>
      </c>
      <c r="AG480">
        <v>25</v>
      </c>
      <c r="AH480">
        <v>1</v>
      </c>
      <c r="AI480">
        <v>1</v>
      </c>
      <c r="AJ480">
        <v>0</v>
      </c>
      <c r="AK480">
        <v>0</v>
      </c>
      <c r="AL480" t="s">
        <v>4487</v>
      </c>
      <c r="AM480" t="s">
        <v>2541</v>
      </c>
      <c r="AN480" t="s">
        <v>4488</v>
      </c>
      <c r="AO480" t="s">
        <v>7658</v>
      </c>
      <c r="AP480" t="s">
        <v>74</v>
      </c>
      <c r="AQ480" t="s">
        <v>74</v>
      </c>
      <c r="AR480" t="s">
        <v>7659</v>
      </c>
      <c r="AS480" t="s">
        <v>7660</v>
      </c>
      <c r="AT480" t="s">
        <v>7560</v>
      </c>
      <c r="AU480">
        <v>2005</v>
      </c>
      <c r="AV480">
        <v>40</v>
      </c>
      <c r="AW480">
        <v>6</v>
      </c>
      <c r="AX480" t="s">
        <v>74</v>
      </c>
      <c r="AY480" t="s">
        <v>74</v>
      </c>
      <c r="AZ480" t="s">
        <v>74</v>
      </c>
      <c r="BA480" t="s">
        <v>74</v>
      </c>
      <c r="BB480" t="s">
        <v>74</v>
      </c>
      <c r="BC480" t="s">
        <v>74</v>
      </c>
      <c r="BD480" t="s">
        <v>7661</v>
      </c>
      <c r="BE480" t="s">
        <v>7662</v>
      </c>
      <c r="BF480" t="str">
        <f>HYPERLINK("http://dx.doi.org/10.1029/2005RS003249","http://dx.doi.org/10.1029/2005RS003249")</f>
        <v>http://dx.doi.org/10.1029/2005RS003249</v>
      </c>
      <c r="BG480" t="s">
        <v>74</v>
      </c>
      <c r="BH480" t="s">
        <v>74</v>
      </c>
      <c r="BI480">
        <v>7</v>
      </c>
      <c r="BJ480" t="s">
        <v>7663</v>
      </c>
      <c r="BK480" t="s">
        <v>98</v>
      </c>
      <c r="BL480" t="s">
        <v>7663</v>
      </c>
      <c r="BM480" t="s">
        <v>7664</v>
      </c>
      <c r="BN480" t="s">
        <v>74</v>
      </c>
      <c r="BO480" t="s">
        <v>74</v>
      </c>
      <c r="BP480" t="s">
        <v>74</v>
      </c>
      <c r="BQ480" t="s">
        <v>74</v>
      </c>
      <c r="BR480" t="s">
        <v>101</v>
      </c>
      <c r="BS480" t="s">
        <v>7665</v>
      </c>
      <c r="BT480" t="str">
        <f>HYPERLINK("https%3A%2F%2Fwww.webofscience.com%2Fwos%2Fwoscc%2Ffull-record%2FWOS:000233589100004","View Full Record in Web of Science")</f>
        <v>View Full Record in Web of Science</v>
      </c>
    </row>
    <row r="481" spans="1:72" x14ac:dyDescent="0.15">
      <c r="A481" t="s">
        <v>72</v>
      </c>
      <c r="B481" t="s">
        <v>7666</v>
      </c>
      <c r="C481" t="s">
        <v>74</v>
      </c>
      <c r="D481" t="s">
        <v>74</v>
      </c>
      <c r="E481" t="s">
        <v>74</v>
      </c>
      <c r="F481" t="s">
        <v>7666</v>
      </c>
      <c r="G481" t="s">
        <v>74</v>
      </c>
      <c r="H481" t="s">
        <v>74</v>
      </c>
      <c r="I481" t="s">
        <v>7667</v>
      </c>
      <c r="J481" t="s">
        <v>5063</v>
      </c>
      <c r="K481" t="s">
        <v>74</v>
      </c>
      <c r="L481" t="s">
        <v>74</v>
      </c>
      <c r="M481" t="s">
        <v>77</v>
      </c>
      <c r="N481" t="s">
        <v>78</v>
      </c>
      <c r="O481" t="s">
        <v>74</v>
      </c>
      <c r="P481" t="s">
        <v>74</v>
      </c>
      <c r="Q481" t="s">
        <v>74</v>
      </c>
      <c r="R481" t="s">
        <v>74</v>
      </c>
      <c r="S481" t="s">
        <v>74</v>
      </c>
      <c r="T481" t="s">
        <v>74</v>
      </c>
      <c r="U481" t="s">
        <v>7668</v>
      </c>
      <c r="V481" t="s">
        <v>7669</v>
      </c>
      <c r="W481" t="s">
        <v>7670</v>
      </c>
      <c r="X481" t="s">
        <v>7671</v>
      </c>
      <c r="Y481" t="s">
        <v>7672</v>
      </c>
      <c r="Z481" t="s">
        <v>7673</v>
      </c>
      <c r="AA481" t="s">
        <v>7674</v>
      </c>
      <c r="AB481" t="s">
        <v>7675</v>
      </c>
      <c r="AC481" t="s">
        <v>74</v>
      </c>
      <c r="AD481" t="s">
        <v>74</v>
      </c>
      <c r="AE481" t="s">
        <v>74</v>
      </c>
      <c r="AF481" t="s">
        <v>74</v>
      </c>
      <c r="AG481">
        <v>33</v>
      </c>
      <c r="AH481">
        <v>87</v>
      </c>
      <c r="AI481">
        <v>94</v>
      </c>
      <c r="AJ481">
        <v>0</v>
      </c>
      <c r="AK481">
        <v>18</v>
      </c>
      <c r="AL481" t="s">
        <v>4487</v>
      </c>
      <c r="AM481" t="s">
        <v>2541</v>
      </c>
      <c r="AN481" t="s">
        <v>4488</v>
      </c>
      <c r="AO481" t="s">
        <v>5072</v>
      </c>
      <c r="AP481" t="s">
        <v>5073</v>
      </c>
      <c r="AQ481" t="s">
        <v>74</v>
      </c>
      <c r="AR481" t="s">
        <v>5074</v>
      </c>
      <c r="AS481" t="s">
        <v>5075</v>
      </c>
      <c r="AT481" t="s">
        <v>7676</v>
      </c>
      <c r="AU481">
        <v>2005</v>
      </c>
      <c r="AV481">
        <v>110</v>
      </c>
      <c r="AW481" t="s">
        <v>7677</v>
      </c>
      <c r="AX481" t="s">
        <v>74</v>
      </c>
      <c r="AY481" t="s">
        <v>74</v>
      </c>
      <c r="AZ481" t="s">
        <v>74</v>
      </c>
      <c r="BA481" t="s">
        <v>74</v>
      </c>
      <c r="BB481" t="s">
        <v>74</v>
      </c>
      <c r="BC481" t="s">
        <v>74</v>
      </c>
      <c r="BD481" t="s">
        <v>7678</v>
      </c>
      <c r="BE481" t="s">
        <v>7679</v>
      </c>
      <c r="BF481" t="str">
        <f>HYPERLINK("http://dx.doi.org/10.1029/2005JD005917","http://dx.doi.org/10.1029/2005JD005917")</f>
        <v>http://dx.doi.org/10.1029/2005JD005917</v>
      </c>
      <c r="BG481" t="s">
        <v>74</v>
      </c>
      <c r="BH481" t="s">
        <v>74</v>
      </c>
      <c r="BI481">
        <v>15</v>
      </c>
      <c r="BJ481" t="s">
        <v>2033</v>
      </c>
      <c r="BK481" t="s">
        <v>98</v>
      </c>
      <c r="BL481" t="s">
        <v>2033</v>
      </c>
      <c r="BM481" t="s">
        <v>7680</v>
      </c>
      <c r="BN481" t="s">
        <v>74</v>
      </c>
      <c r="BO481" t="s">
        <v>534</v>
      </c>
      <c r="BP481" t="s">
        <v>74</v>
      </c>
      <c r="BQ481" t="s">
        <v>74</v>
      </c>
      <c r="BR481" t="s">
        <v>101</v>
      </c>
      <c r="BS481" t="s">
        <v>7681</v>
      </c>
      <c r="BT481" t="str">
        <f>HYPERLINK("https%3A%2F%2Fwww.webofscience.com%2Fwos%2Fwoscc%2Ffull-record%2FWOS:000233355700005","View Full Record in Web of Science")</f>
        <v>View Full Record in Web of Science</v>
      </c>
    </row>
    <row r="482" spans="1:72" x14ac:dyDescent="0.15">
      <c r="A482" t="s">
        <v>72</v>
      </c>
      <c r="B482" t="s">
        <v>7682</v>
      </c>
      <c r="C482" t="s">
        <v>74</v>
      </c>
      <c r="D482" t="s">
        <v>74</v>
      </c>
      <c r="E482" t="s">
        <v>74</v>
      </c>
      <c r="F482" t="s">
        <v>7682</v>
      </c>
      <c r="G482" t="s">
        <v>74</v>
      </c>
      <c r="H482" t="s">
        <v>74</v>
      </c>
      <c r="I482" t="s">
        <v>7683</v>
      </c>
      <c r="J482" t="s">
        <v>5251</v>
      </c>
      <c r="K482" t="s">
        <v>74</v>
      </c>
      <c r="L482" t="s">
        <v>74</v>
      </c>
      <c r="M482" t="s">
        <v>77</v>
      </c>
      <c r="N482" t="s">
        <v>78</v>
      </c>
      <c r="O482" t="s">
        <v>74</v>
      </c>
      <c r="P482" t="s">
        <v>74</v>
      </c>
      <c r="Q482" t="s">
        <v>74</v>
      </c>
      <c r="R482" t="s">
        <v>74</v>
      </c>
      <c r="S482" t="s">
        <v>74</v>
      </c>
      <c r="T482" t="s">
        <v>74</v>
      </c>
      <c r="U482" t="s">
        <v>7684</v>
      </c>
      <c r="V482" t="s">
        <v>7685</v>
      </c>
      <c r="W482" t="s">
        <v>7686</v>
      </c>
      <c r="X482" t="s">
        <v>7687</v>
      </c>
      <c r="Y482" t="s">
        <v>7688</v>
      </c>
      <c r="Z482" t="s">
        <v>7689</v>
      </c>
      <c r="AA482" t="s">
        <v>7690</v>
      </c>
      <c r="AB482" t="s">
        <v>7691</v>
      </c>
      <c r="AC482" t="s">
        <v>74</v>
      </c>
      <c r="AD482" t="s">
        <v>74</v>
      </c>
      <c r="AE482" t="s">
        <v>74</v>
      </c>
      <c r="AF482" t="s">
        <v>74</v>
      </c>
      <c r="AG482">
        <v>19</v>
      </c>
      <c r="AH482">
        <v>63</v>
      </c>
      <c r="AI482">
        <v>67</v>
      </c>
      <c r="AJ482">
        <v>0</v>
      </c>
      <c r="AK482">
        <v>5</v>
      </c>
      <c r="AL482" t="s">
        <v>4487</v>
      </c>
      <c r="AM482" t="s">
        <v>2541</v>
      </c>
      <c r="AN482" t="s">
        <v>4488</v>
      </c>
      <c r="AO482" t="s">
        <v>5260</v>
      </c>
      <c r="AP482" t="s">
        <v>5261</v>
      </c>
      <c r="AQ482" t="s">
        <v>74</v>
      </c>
      <c r="AR482" t="s">
        <v>5262</v>
      </c>
      <c r="AS482" t="s">
        <v>5263</v>
      </c>
      <c r="AT482" t="s">
        <v>7676</v>
      </c>
      <c r="AU482">
        <v>2005</v>
      </c>
      <c r="AV482">
        <v>110</v>
      </c>
      <c r="AW482" t="s">
        <v>7692</v>
      </c>
      <c r="AX482" t="s">
        <v>74</v>
      </c>
      <c r="AY482" t="s">
        <v>74</v>
      </c>
      <c r="AZ482" t="s">
        <v>74</v>
      </c>
      <c r="BA482" t="s">
        <v>74</v>
      </c>
      <c r="BB482" t="s">
        <v>74</v>
      </c>
      <c r="BC482" t="s">
        <v>74</v>
      </c>
      <c r="BD482" t="s">
        <v>7693</v>
      </c>
      <c r="BE482" t="s">
        <v>7694</v>
      </c>
      <c r="BF482" t="str">
        <f>HYPERLINK("http://dx.doi.org/10.1029/2004JC002753","http://dx.doi.org/10.1029/2004JC002753")</f>
        <v>http://dx.doi.org/10.1029/2004JC002753</v>
      </c>
      <c r="BG482" t="s">
        <v>74</v>
      </c>
      <c r="BH482" t="s">
        <v>74</v>
      </c>
      <c r="BI482">
        <v>11</v>
      </c>
      <c r="BJ482" t="s">
        <v>629</v>
      </c>
      <c r="BK482" t="s">
        <v>98</v>
      </c>
      <c r="BL482" t="s">
        <v>629</v>
      </c>
      <c r="BM482" t="s">
        <v>7695</v>
      </c>
      <c r="BN482" t="s">
        <v>74</v>
      </c>
      <c r="BO482" t="s">
        <v>1900</v>
      </c>
      <c r="BP482" t="s">
        <v>74</v>
      </c>
      <c r="BQ482" t="s">
        <v>74</v>
      </c>
      <c r="BR482" t="s">
        <v>101</v>
      </c>
      <c r="BS482" t="s">
        <v>7696</v>
      </c>
      <c r="BT482" t="str">
        <f>HYPERLINK("https%3A%2F%2Fwww.webofscience.com%2Fwos%2Fwoscc%2Ffull-record%2FWOS:000233356700002","View Full Record in Web of Science")</f>
        <v>View Full Record in Web of Science</v>
      </c>
    </row>
    <row r="483" spans="1:72" x14ac:dyDescent="0.15">
      <c r="A483" t="s">
        <v>72</v>
      </c>
      <c r="B483" t="s">
        <v>7697</v>
      </c>
      <c r="C483" t="s">
        <v>74</v>
      </c>
      <c r="D483" t="s">
        <v>74</v>
      </c>
      <c r="E483" t="s">
        <v>74</v>
      </c>
      <c r="F483" t="s">
        <v>7697</v>
      </c>
      <c r="G483" t="s">
        <v>74</v>
      </c>
      <c r="H483" t="s">
        <v>74</v>
      </c>
      <c r="I483" t="s">
        <v>7698</v>
      </c>
      <c r="J483" t="s">
        <v>7699</v>
      </c>
      <c r="K483" t="s">
        <v>74</v>
      </c>
      <c r="L483" t="s">
        <v>74</v>
      </c>
      <c r="M483" t="s">
        <v>77</v>
      </c>
      <c r="N483" t="s">
        <v>78</v>
      </c>
      <c r="O483" t="s">
        <v>74</v>
      </c>
      <c r="P483" t="s">
        <v>74</v>
      </c>
      <c r="Q483" t="s">
        <v>74</v>
      </c>
      <c r="R483" t="s">
        <v>74</v>
      </c>
      <c r="S483" t="s">
        <v>74</v>
      </c>
      <c r="T483" t="s">
        <v>7700</v>
      </c>
      <c r="U483" t="s">
        <v>7701</v>
      </c>
      <c r="V483" t="s">
        <v>7702</v>
      </c>
      <c r="W483" t="s">
        <v>7703</v>
      </c>
      <c r="X483" t="s">
        <v>7704</v>
      </c>
      <c r="Y483" t="s">
        <v>7705</v>
      </c>
      <c r="Z483" t="s">
        <v>7706</v>
      </c>
      <c r="AA483" t="s">
        <v>7707</v>
      </c>
      <c r="AB483" t="s">
        <v>7708</v>
      </c>
      <c r="AC483" t="s">
        <v>74</v>
      </c>
      <c r="AD483" t="s">
        <v>74</v>
      </c>
      <c r="AE483" t="s">
        <v>74</v>
      </c>
      <c r="AF483" t="s">
        <v>74</v>
      </c>
      <c r="AG483">
        <v>40</v>
      </c>
      <c r="AH483">
        <v>58</v>
      </c>
      <c r="AI483">
        <v>67</v>
      </c>
      <c r="AJ483">
        <v>2</v>
      </c>
      <c r="AK483">
        <v>20</v>
      </c>
      <c r="AL483" t="s">
        <v>2645</v>
      </c>
      <c r="AM483" t="s">
        <v>2646</v>
      </c>
      <c r="AN483" t="s">
        <v>2647</v>
      </c>
      <c r="AO483" t="s">
        <v>7709</v>
      </c>
      <c r="AP483" t="s">
        <v>7710</v>
      </c>
      <c r="AQ483" t="s">
        <v>74</v>
      </c>
      <c r="AR483" t="s">
        <v>7711</v>
      </c>
      <c r="AS483" t="s">
        <v>7712</v>
      </c>
      <c r="AT483" t="s">
        <v>7713</v>
      </c>
      <c r="AU483">
        <v>2005</v>
      </c>
      <c r="AV483">
        <v>41</v>
      </c>
      <c r="AW483">
        <v>1</v>
      </c>
      <c r="AX483" t="s">
        <v>74</v>
      </c>
      <c r="AY483" t="s">
        <v>74</v>
      </c>
      <c r="AZ483" t="s">
        <v>74</v>
      </c>
      <c r="BA483" t="s">
        <v>74</v>
      </c>
      <c r="BB483">
        <v>91</v>
      </c>
      <c r="BC483">
        <v>102</v>
      </c>
      <c r="BD483" t="s">
        <v>74</v>
      </c>
      <c r="BE483" t="s">
        <v>7714</v>
      </c>
      <c r="BF483" t="str">
        <f>HYPERLINK("http://dx.doi.org/10.3354/ame041091","http://dx.doi.org/10.3354/ame041091")</f>
        <v>http://dx.doi.org/10.3354/ame041091</v>
      </c>
      <c r="BG483" t="s">
        <v>74</v>
      </c>
      <c r="BH483" t="s">
        <v>74</v>
      </c>
      <c r="BI483">
        <v>12</v>
      </c>
      <c r="BJ483" t="s">
        <v>7715</v>
      </c>
      <c r="BK483" t="s">
        <v>98</v>
      </c>
      <c r="BL483" t="s">
        <v>7716</v>
      </c>
      <c r="BM483" t="s">
        <v>7717</v>
      </c>
      <c r="BN483" t="s">
        <v>74</v>
      </c>
      <c r="BO483" t="s">
        <v>1900</v>
      </c>
      <c r="BP483" t="s">
        <v>74</v>
      </c>
      <c r="BQ483" t="s">
        <v>74</v>
      </c>
      <c r="BR483" t="s">
        <v>101</v>
      </c>
      <c r="BS483" t="s">
        <v>7718</v>
      </c>
      <c r="BT483" t="str">
        <f>HYPERLINK("https%3A%2F%2Fwww.webofscience.com%2Fwos%2Fwoscc%2Ffull-record%2FWOS:000233696000009","View Full Record in Web of Science")</f>
        <v>View Full Record in Web of Science</v>
      </c>
    </row>
    <row r="484" spans="1:72" x14ac:dyDescent="0.15">
      <c r="A484" t="s">
        <v>72</v>
      </c>
      <c r="B484" t="s">
        <v>7719</v>
      </c>
      <c r="C484" t="s">
        <v>74</v>
      </c>
      <c r="D484" t="s">
        <v>74</v>
      </c>
      <c r="E484" t="s">
        <v>74</v>
      </c>
      <c r="F484" t="s">
        <v>7719</v>
      </c>
      <c r="G484" t="s">
        <v>74</v>
      </c>
      <c r="H484" t="s">
        <v>74</v>
      </c>
      <c r="I484" t="s">
        <v>7720</v>
      </c>
      <c r="J484" t="s">
        <v>7721</v>
      </c>
      <c r="K484" t="s">
        <v>74</v>
      </c>
      <c r="L484" t="s">
        <v>74</v>
      </c>
      <c r="M484" t="s">
        <v>77</v>
      </c>
      <c r="N484" t="s">
        <v>78</v>
      </c>
      <c r="O484" t="s">
        <v>74</v>
      </c>
      <c r="P484" t="s">
        <v>74</v>
      </c>
      <c r="Q484" t="s">
        <v>74</v>
      </c>
      <c r="R484" t="s">
        <v>74</v>
      </c>
      <c r="S484" t="s">
        <v>74</v>
      </c>
      <c r="T484" t="s">
        <v>74</v>
      </c>
      <c r="U484" t="s">
        <v>7722</v>
      </c>
      <c r="V484" t="s">
        <v>7723</v>
      </c>
      <c r="W484" t="s">
        <v>7724</v>
      </c>
      <c r="X484" t="s">
        <v>4806</v>
      </c>
      <c r="Y484" t="s">
        <v>7725</v>
      </c>
      <c r="Z484" t="s">
        <v>7726</v>
      </c>
      <c r="AA484" t="s">
        <v>4809</v>
      </c>
      <c r="AB484" t="s">
        <v>7727</v>
      </c>
      <c r="AC484" t="s">
        <v>74</v>
      </c>
      <c r="AD484" t="s">
        <v>74</v>
      </c>
      <c r="AE484" t="s">
        <v>74</v>
      </c>
      <c r="AF484" t="s">
        <v>74</v>
      </c>
      <c r="AG484">
        <v>24</v>
      </c>
      <c r="AH484">
        <v>20</v>
      </c>
      <c r="AI484">
        <v>20</v>
      </c>
      <c r="AJ484">
        <v>0</v>
      </c>
      <c r="AK484">
        <v>8</v>
      </c>
      <c r="AL484" t="s">
        <v>4487</v>
      </c>
      <c r="AM484" t="s">
        <v>2541</v>
      </c>
      <c r="AN484" t="s">
        <v>4488</v>
      </c>
      <c r="AO484" t="s">
        <v>7728</v>
      </c>
      <c r="AP484" t="s">
        <v>7729</v>
      </c>
      <c r="AQ484" t="s">
        <v>74</v>
      </c>
      <c r="AR484" t="s">
        <v>7730</v>
      </c>
      <c r="AS484" t="s">
        <v>7731</v>
      </c>
      <c r="AT484" t="s">
        <v>7713</v>
      </c>
      <c r="AU484">
        <v>2005</v>
      </c>
      <c r="AV484">
        <v>110</v>
      </c>
      <c r="AW484" t="s">
        <v>7732</v>
      </c>
      <c r="AX484" t="s">
        <v>74</v>
      </c>
      <c r="AY484" t="s">
        <v>74</v>
      </c>
      <c r="AZ484" t="s">
        <v>74</v>
      </c>
      <c r="BA484" t="s">
        <v>74</v>
      </c>
      <c r="BB484" t="s">
        <v>74</v>
      </c>
      <c r="BC484" t="s">
        <v>74</v>
      </c>
      <c r="BD484" t="s">
        <v>7733</v>
      </c>
      <c r="BE484" t="s">
        <v>7734</v>
      </c>
      <c r="BF484" t="str">
        <f>HYPERLINK("http://dx.doi.org/10.1029/2005JA011058","http://dx.doi.org/10.1029/2005JA011058")</f>
        <v>http://dx.doi.org/10.1029/2005JA011058</v>
      </c>
      <c r="BG484" t="s">
        <v>74</v>
      </c>
      <c r="BH484" t="s">
        <v>74</v>
      </c>
      <c r="BI484">
        <v>8</v>
      </c>
      <c r="BJ484" t="s">
        <v>4376</v>
      </c>
      <c r="BK484" t="s">
        <v>98</v>
      </c>
      <c r="BL484" t="s">
        <v>4376</v>
      </c>
      <c r="BM484" t="s">
        <v>7735</v>
      </c>
      <c r="BN484" t="s">
        <v>74</v>
      </c>
      <c r="BO484" t="s">
        <v>1900</v>
      </c>
      <c r="BP484" t="s">
        <v>74</v>
      </c>
      <c r="BQ484" t="s">
        <v>74</v>
      </c>
      <c r="BR484" t="s">
        <v>101</v>
      </c>
      <c r="BS484" t="s">
        <v>7736</v>
      </c>
      <c r="BT484" t="str">
        <f>HYPERLINK("https%3A%2F%2Fwww.webofscience.com%2Fwos%2Fwoscc%2Ffull-record%2FWOS:000233357100008","View Full Record in Web of Science")</f>
        <v>View Full Record in Web of Science</v>
      </c>
    </row>
    <row r="485" spans="1:72" x14ac:dyDescent="0.15">
      <c r="A485" t="s">
        <v>72</v>
      </c>
      <c r="B485" t="s">
        <v>7737</v>
      </c>
      <c r="C485" t="s">
        <v>74</v>
      </c>
      <c r="D485" t="s">
        <v>74</v>
      </c>
      <c r="E485" t="s">
        <v>74</v>
      </c>
      <c r="F485" t="s">
        <v>7737</v>
      </c>
      <c r="G485" t="s">
        <v>74</v>
      </c>
      <c r="H485" t="s">
        <v>74</v>
      </c>
      <c r="I485" t="s">
        <v>7738</v>
      </c>
      <c r="J485" t="s">
        <v>7721</v>
      </c>
      <c r="K485" t="s">
        <v>74</v>
      </c>
      <c r="L485" t="s">
        <v>74</v>
      </c>
      <c r="M485" t="s">
        <v>77</v>
      </c>
      <c r="N485" t="s">
        <v>78</v>
      </c>
      <c r="O485" t="s">
        <v>74</v>
      </c>
      <c r="P485" t="s">
        <v>74</v>
      </c>
      <c r="Q485" t="s">
        <v>74</v>
      </c>
      <c r="R485" t="s">
        <v>74</v>
      </c>
      <c r="S485" t="s">
        <v>74</v>
      </c>
      <c r="T485" t="s">
        <v>74</v>
      </c>
      <c r="U485" t="s">
        <v>7739</v>
      </c>
      <c r="V485" t="s">
        <v>7740</v>
      </c>
      <c r="W485" t="s">
        <v>7741</v>
      </c>
      <c r="X485" t="s">
        <v>7742</v>
      </c>
      <c r="Y485" t="s">
        <v>7743</v>
      </c>
      <c r="Z485" t="s">
        <v>7744</v>
      </c>
      <c r="AA485" t="s">
        <v>7745</v>
      </c>
      <c r="AB485" t="s">
        <v>7746</v>
      </c>
      <c r="AC485" t="s">
        <v>74</v>
      </c>
      <c r="AD485" t="s">
        <v>74</v>
      </c>
      <c r="AE485" t="s">
        <v>74</v>
      </c>
      <c r="AF485" t="s">
        <v>74</v>
      </c>
      <c r="AG485">
        <v>33</v>
      </c>
      <c r="AH485">
        <v>80</v>
      </c>
      <c r="AI485">
        <v>83</v>
      </c>
      <c r="AJ485">
        <v>0</v>
      </c>
      <c r="AK485">
        <v>1</v>
      </c>
      <c r="AL485" t="s">
        <v>4487</v>
      </c>
      <c r="AM485" t="s">
        <v>2541</v>
      </c>
      <c r="AN485" t="s">
        <v>4488</v>
      </c>
      <c r="AO485" t="s">
        <v>7728</v>
      </c>
      <c r="AP485" t="s">
        <v>7729</v>
      </c>
      <c r="AQ485" t="s">
        <v>74</v>
      </c>
      <c r="AR485" t="s">
        <v>7730</v>
      </c>
      <c r="AS485" t="s">
        <v>7731</v>
      </c>
      <c r="AT485" t="s">
        <v>7713</v>
      </c>
      <c r="AU485">
        <v>2005</v>
      </c>
      <c r="AV485">
        <v>110</v>
      </c>
      <c r="AW485" t="s">
        <v>7732</v>
      </c>
      <c r="AX485" t="s">
        <v>74</v>
      </c>
      <c r="AY485" t="s">
        <v>74</v>
      </c>
      <c r="AZ485" t="s">
        <v>74</v>
      </c>
      <c r="BA485" t="s">
        <v>74</v>
      </c>
      <c r="BB485" t="s">
        <v>74</v>
      </c>
      <c r="BC485" t="s">
        <v>74</v>
      </c>
      <c r="BD485" t="s">
        <v>7747</v>
      </c>
      <c r="BE485" t="s">
        <v>7748</v>
      </c>
      <c r="BF485" t="str">
        <f>HYPERLINK("http://dx.doi.org/10.1029/2005JA011254","http://dx.doi.org/10.1029/2005JA011254")</f>
        <v>http://dx.doi.org/10.1029/2005JA011254</v>
      </c>
      <c r="BG485" t="s">
        <v>74</v>
      </c>
      <c r="BH485" t="s">
        <v>74</v>
      </c>
      <c r="BI485">
        <v>9</v>
      </c>
      <c r="BJ485" t="s">
        <v>4376</v>
      </c>
      <c r="BK485" t="s">
        <v>98</v>
      </c>
      <c r="BL485" t="s">
        <v>4376</v>
      </c>
      <c r="BM485" t="s">
        <v>7735</v>
      </c>
      <c r="BN485" t="s">
        <v>74</v>
      </c>
      <c r="BO485" t="s">
        <v>74</v>
      </c>
      <c r="BP485" t="s">
        <v>74</v>
      </c>
      <c r="BQ485" t="s">
        <v>74</v>
      </c>
      <c r="BR485" t="s">
        <v>101</v>
      </c>
      <c r="BS485" t="s">
        <v>7749</v>
      </c>
      <c r="BT485" t="str">
        <f>HYPERLINK("https%3A%2F%2Fwww.webofscience.com%2Fwos%2Fwoscc%2Ffull-record%2FWOS:000233357100017","View Full Record in Web of Science")</f>
        <v>View Full Record in Web of Science</v>
      </c>
    </row>
    <row r="486" spans="1:72" x14ac:dyDescent="0.15">
      <c r="A486" t="s">
        <v>72</v>
      </c>
      <c r="B486" t="s">
        <v>7750</v>
      </c>
      <c r="C486" t="s">
        <v>74</v>
      </c>
      <c r="D486" t="s">
        <v>74</v>
      </c>
      <c r="E486" t="s">
        <v>74</v>
      </c>
      <c r="F486" t="s">
        <v>7750</v>
      </c>
      <c r="G486" t="s">
        <v>74</v>
      </c>
      <c r="H486" t="s">
        <v>74</v>
      </c>
      <c r="I486" t="s">
        <v>7751</v>
      </c>
      <c r="J486" t="s">
        <v>7752</v>
      </c>
      <c r="K486" t="s">
        <v>74</v>
      </c>
      <c r="L486" t="s">
        <v>74</v>
      </c>
      <c r="M486" t="s">
        <v>77</v>
      </c>
      <c r="N486" t="s">
        <v>78</v>
      </c>
      <c r="O486" t="s">
        <v>74</v>
      </c>
      <c r="P486" t="s">
        <v>74</v>
      </c>
      <c r="Q486" t="s">
        <v>74</v>
      </c>
      <c r="R486" t="s">
        <v>74</v>
      </c>
      <c r="S486" t="s">
        <v>74</v>
      </c>
      <c r="T486" t="s">
        <v>7753</v>
      </c>
      <c r="U486" t="s">
        <v>7754</v>
      </c>
      <c r="V486" t="s">
        <v>7755</v>
      </c>
      <c r="W486" t="s">
        <v>7756</v>
      </c>
      <c r="X486" t="s">
        <v>7757</v>
      </c>
      <c r="Y486" t="s">
        <v>7758</v>
      </c>
      <c r="Z486" t="s">
        <v>74</v>
      </c>
      <c r="AA486" t="s">
        <v>74</v>
      </c>
      <c r="AB486" t="s">
        <v>7759</v>
      </c>
      <c r="AC486" t="s">
        <v>74</v>
      </c>
      <c r="AD486" t="s">
        <v>74</v>
      </c>
      <c r="AE486" t="s">
        <v>74</v>
      </c>
      <c r="AF486" t="s">
        <v>74</v>
      </c>
      <c r="AG486">
        <v>41</v>
      </c>
      <c r="AH486">
        <v>54</v>
      </c>
      <c r="AI486">
        <v>56</v>
      </c>
      <c r="AJ486">
        <v>0</v>
      </c>
      <c r="AK486">
        <v>1</v>
      </c>
      <c r="AL486" t="s">
        <v>4369</v>
      </c>
      <c r="AM486" t="s">
        <v>4370</v>
      </c>
      <c r="AN486" t="s">
        <v>4371</v>
      </c>
      <c r="AO486" t="s">
        <v>7760</v>
      </c>
      <c r="AP486" t="s">
        <v>74</v>
      </c>
      <c r="AQ486" t="s">
        <v>74</v>
      </c>
      <c r="AR486" t="s">
        <v>7761</v>
      </c>
      <c r="AS486" t="s">
        <v>7762</v>
      </c>
      <c r="AT486" t="s">
        <v>7763</v>
      </c>
      <c r="AU486">
        <v>2005</v>
      </c>
      <c r="AV486">
        <v>633</v>
      </c>
      <c r="AW486">
        <v>2</v>
      </c>
      <c r="AX486">
        <v>1</v>
      </c>
      <c r="AY486" t="s">
        <v>74</v>
      </c>
      <c r="AZ486" t="s">
        <v>74</v>
      </c>
      <c r="BA486" t="s">
        <v>74</v>
      </c>
      <c r="BB486">
        <v>1013</v>
      </c>
      <c r="BC486">
        <v>1017</v>
      </c>
      <c r="BD486" t="s">
        <v>74</v>
      </c>
      <c r="BE486" t="s">
        <v>7764</v>
      </c>
      <c r="BF486" t="str">
        <f>HYPERLINK("http://dx.doi.org/10.1086/466514","http://dx.doi.org/10.1086/466514")</f>
        <v>http://dx.doi.org/10.1086/466514</v>
      </c>
      <c r="BG486" t="s">
        <v>74</v>
      </c>
      <c r="BH486" t="s">
        <v>74</v>
      </c>
      <c r="BI486">
        <v>5</v>
      </c>
      <c r="BJ486" t="s">
        <v>4376</v>
      </c>
      <c r="BK486" t="s">
        <v>98</v>
      </c>
      <c r="BL486" t="s">
        <v>4376</v>
      </c>
      <c r="BM486" t="s">
        <v>7765</v>
      </c>
      <c r="BN486" t="s">
        <v>74</v>
      </c>
      <c r="BO486" t="s">
        <v>534</v>
      </c>
      <c r="BP486" t="s">
        <v>74</v>
      </c>
      <c r="BQ486" t="s">
        <v>74</v>
      </c>
      <c r="BR486" t="s">
        <v>101</v>
      </c>
      <c r="BS486" t="s">
        <v>7766</v>
      </c>
      <c r="BT486" t="str">
        <f>HYPERLINK("https%3A%2F%2Fwww.webofscience.com%2Fwos%2Fwoscc%2Ffull-record%2FWOS:000233239000041","View Full Record in Web of Science")</f>
        <v>View Full Record in Web of Science</v>
      </c>
    </row>
    <row r="487" spans="1:72" x14ac:dyDescent="0.15">
      <c r="A487" t="s">
        <v>72</v>
      </c>
      <c r="B487" t="s">
        <v>7767</v>
      </c>
      <c r="C487" t="s">
        <v>74</v>
      </c>
      <c r="D487" t="s">
        <v>74</v>
      </c>
      <c r="E487" t="s">
        <v>74</v>
      </c>
      <c r="F487" t="s">
        <v>7767</v>
      </c>
      <c r="G487" t="s">
        <v>74</v>
      </c>
      <c r="H487" t="s">
        <v>74</v>
      </c>
      <c r="I487" t="s">
        <v>7768</v>
      </c>
      <c r="J487" t="s">
        <v>5477</v>
      </c>
      <c r="K487" t="s">
        <v>74</v>
      </c>
      <c r="L487" t="s">
        <v>74</v>
      </c>
      <c r="M487" t="s">
        <v>77</v>
      </c>
      <c r="N487" t="s">
        <v>78</v>
      </c>
      <c r="O487" t="s">
        <v>74</v>
      </c>
      <c r="P487" t="s">
        <v>74</v>
      </c>
      <c r="Q487" t="s">
        <v>74</v>
      </c>
      <c r="R487" t="s">
        <v>74</v>
      </c>
      <c r="S487" t="s">
        <v>74</v>
      </c>
      <c r="T487" t="s">
        <v>7769</v>
      </c>
      <c r="U487" t="s">
        <v>74</v>
      </c>
      <c r="V487" t="s">
        <v>74</v>
      </c>
      <c r="W487" t="s">
        <v>7770</v>
      </c>
      <c r="X487" t="s">
        <v>7771</v>
      </c>
      <c r="Y487" t="s">
        <v>7772</v>
      </c>
      <c r="Z487" t="s">
        <v>7773</v>
      </c>
      <c r="AA487" t="s">
        <v>7774</v>
      </c>
      <c r="AB487" t="s">
        <v>7775</v>
      </c>
      <c r="AC487" t="s">
        <v>74</v>
      </c>
      <c r="AD487" t="s">
        <v>74</v>
      </c>
      <c r="AE487" t="s">
        <v>74</v>
      </c>
      <c r="AF487" t="s">
        <v>74</v>
      </c>
      <c r="AG487">
        <v>4</v>
      </c>
      <c r="AH487">
        <v>13</v>
      </c>
      <c r="AI487">
        <v>15</v>
      </c>
      <c r="AJ487">
        <v>0</v>
      </c>
      <c r="AK487">
        <v>15</v>
      </c>
      <c r="AL487" t="s">
        <v>5485</v>
      </c>
      <c r="AM487" t="s">
        <v>5486</v>
      </c>
      <c r="AN487" t="s">
        <v>5487</v>
      </c>
      <c r="AO487" t="s">
        <v>5488</v>
      </c>
      <c r="AP487" t="s">
        <v>74</v>
      </c>
      <c r="AQ487" t="s">
        <v>74</v>
      </c>
      <c r="AR487" t="s">
        <v>5489</v>
      </c>
      <c r="AS487" t="s">
        <v>5490</v>
      </c>
      <c r="AT487" t="s">
        <v>7763</v>
      </c>
      <c r="AU487">
        <v>2005</v>
      </c>
      <c r="AV487">
        <v>89</v>
      </c>
      <c r="AW487">
        <v>9</v>
      </c>
      <c r="AX487" t="s">
        <v>74</v>
      </c>
      <c r="AY487" t="s">
        <v>74</v>
      </c>
      <c r="AZ487" t="s">
        <v>74</v>
      </c>
      <c r="BA487" t="s">
        <v>74</v>
      </c>
      <c r="BB487">
        <v>1552</v>
      </c>
      <c r="BC487">
        <v>1554</v>
      </c>
      <c r="BD487" t="s">
        <v>74</v>
      </c>
      <c r="BE487" t="s">
        <v>74</v>
      </c>
      <c r="BF487" t="s">
        <v>74</v>
      </c>
      <c r="BG487" t="s">
        <v>74</v>
      </c>
      <c r="BH487" t="s">
        <v>74</v>
      </c>
      <c r="BI487">
        <v>3</v>
      </c>
      <c r="BJ487" t="s">
        <v>3495</v>
      </c>
      <c r="BK487" t="s">
        <v>98</v>
      </c>
      <c r="BL487" t="s">
        <v>3496</v>
      </c>
      <c r="BM487" t="s">
        <v>7776</v>
      </c>
      <c r="BN487" t="s">
        <v>74</v>
      </c>
      <c r="BO487" t="s">
        <v>74</v>
      </c>
      <c r="BP487" t="s">
        <v>74</v>
      </c>
      <c r="BQ487" t="s">
        <v>74</v>
      </c>
      <c r="BR487" t="s">
        <v>101</v>
      </c>
      <c r="BS487" t="s">
        <v>7777</v>
      </c>
      <c r="BT487" t="str">
        <f>HYPERLINK("https%3A%2F%2Fwww.webofscience.com%2Fwos%2Fwoscc%2Ffull-record%2FWOS:000233351600026","View Full Record in Web of Science")</f>
        <v>View Full Record in Web of Science</v>
      </c>
    </row>
    <row r="488" spans="1:72" x14ac:dyDescent="0.15">
      <c r="A488" t="s">
        <v>72</v>
      </c>
      <c r="B488" t="s">
        <v>7778</v>
      </c>
      <c r="C488" t="s">
        <v>74</v>
      </c>
      <c r="D488" t="s">
        <v>74</v>
      </c>
      <c r="E488" t="s">
        <v>74</v>
      </c>
      <c r="F488" t="s">
        <v>7778</v>
      </c>
      <c r="G488" t="s">
        <v>74</v>
      </c>
      <c r="H488" t="s">
        <v>74</v>
      </c>
      <c r="I488" t="s">
        <v>7779</v>
      </c>
      <c r="J488" t="s">
        <v>5134</v>
      </c>
      <c r="K488" t="s">
        <v>74</v>
      </c>
      <c r="L488" t="s">
        <v>74</v>
      </c>
      <c r="M488" t="s">
        <v>77</v>
      </c>
      <c r="N488" t="s">
        <v>78</v>
      </c>
      <c r="O488" t="s">
        <v>74</v>
      </c>
      <c r="P488" t="s">
        <v>74</v>
      </c>
      <c r="Q488" t="s">
        <v>74</v>
      </c>
      <c r="R488" t="s">
        <v>74</v>
      </c>
      <c r="S488" t="s">
        <v>74</v>
      </c>
      <c r="T488" t="s">
        <v>74</v>
      </c>
      <c r="U488" t="s">
        <v>7780</v>
      </c>
      <c r="V488" t="s">
        <v>7781</v>
      </c>
      <c r="W488" t="s">
        <v>7782</v>
      </c>
      <c r="X488" t="s">
        <v>7783</v>
      </c>
      <c r="Y488" t="s">
        <v>7784</v>
      </c>
      <c r="Z488" t="s">
        <v>7785</v>
      </c>
      <c r="AA488" t="s">
        <v>7786</v>
      </c>
      <c r="AB488" t="s">
        <v>7787</v>
      </c>
      <c r="AC488" t="s">
        <v>74</v>
      </c>
      <c r="AD488" t="s">
        <v>74</v>
      </c>
      <c r="AE488" t="s">
        <v>74</v>
      </c>
      <c r="AF488" t="s">
        <v>74</v>
      </c>
      <c r="AG488">
        <v>27</v>
      </c>
      <c r="AH488">
        <v>66</v>
      </c>
      <c r="AI488">
        <v>68</v>
      </c>
      <c r="AJ488">
        <v>0</v>
      </c>
      <c r="AK488">
        <v>20</v>
      </c>
      <c r="AL488" t="s">
        <v>4487</v>
      </c>
      <c r="AM488" t="s">
        <v>2541</v>
      </c>
      <c r="AN488" t="s">
        <v>4488</v>
      </c>
      <c r="AO488" t="s">
        <v>5142</v>
      </c>
      <c r="AP488" t="s">
        <v>5143</v>
      </c>
      <c r="AQ488" t="s">
        <v>74</v>
      </c>
      <c r="AR488" t="s">
        <v>5144</v>
      </c>
      <c r="AS488" t="s">
        <v>5145</v>
      </c>
      <c r="AT488" t="s">
        <v>7763</v>
      </c>
      <c r="AU488">
        <v>2005</v>
      </c>
      <c r="AV488">
        <v>32</v>
      </c>
      <c r="AW488">
        <v>21</v>
      </c>
      <c r="AX488" t="s">
        <v>74</v>
      </c>
      <c r="AY488" t="s">
        <v>74</v>
      </c>
      <c r="AZ488" t="s">
        <v>74</v>
      </c>
      <c r="BA488" t="s">
        <v>74</v>
      </c>
      <c r="BB488" t="s">
        <v>74</v>
      </c>
      <c r="BC488" t="s">
        <v>74</v>
      </c>
      <c r="BD488" t="s">
        <v>7788</v>
      </c>
      <c r="BE488" t="s">
        <v>7789</v>
      </c>
      <c r="BF488" t="str">
        <f>HYPERLINK("http://dx.doi.org/10.1029/2005GL023785","http://dx.doi.org/10.1029/2005GL023785")</f>
        <v>http://dx.doi.org/10.1029/2005GL023785</v>
      </c>
      <c r="BG488" t="s">
        <v>74</v>
      </c>
      <c r="BH488" t="s">
        <v>74</v>
      </c>
      <c r="BI488">
        <v>4</v>
      </c>
      <c r="BJ488" t="s">
        <v>1129</v>
      </c>
      <c r="BK488" t="s">
        <v>98</v>
      </c>
      <c r="BL488" t="s">
        <v>1130</v>
      </c>
      <c r="BM488" t="s">
        <v>7790</v>
      </c>
      <c r="BN488" t="s">
        <v>74</v>
      </c>
      <c r="BO488" t="s">
        <v>1900</v>
      </c>
      <c r="BP488" t="s">
        <v>74</v>
      </c>
      <c r="BQ488" t="s">
        <v>74</v>
      </c>
      <c r="BR488" t="s">
        <v>101</v>
      </c>
      <c r="BS488" t="s">
        <v>7791</v>
      </c>
      <c r="BT488" t="str">
        <f>HYPERLINK("https%3A%2F%2Fwww.webofscience.com%2Fwos%2Fwoscc%2Ffull-record%2FWOS:000233354100002","View Full Record in Web of Science")</f>
        <v>View Full Record in Web of Science</v>
      </c>
    </row>
    <row r="489" spans="1:72" x14ac:dyDescent="0.15">
      <c r="A489" t="s">
        <v>72</v>
      </c>
      <c r="B489" t="s">
        <v>7792</v>
      </c>
      <c r="C489" t="s">
        <v>74</v>
      </c>
      <c r="D489" t="s">
        <v>74</v>
      </c>
      <c r="E489" t="s">
        <v>74</v>
      </c>
      <c r="F489" t="s">
        <v>7792</v>
      </c>
      <c r="G489" t="s">
        <v>74</v>
      </c>
      <c r="H489" t="s">
        <v>74</v>
      </c>
      <c r="I489" t="s">
        <v>7793</v>
      </c>
      <c r="J489" t="s">
        <v>5234</v>
      </c>
      <c r="K489" t="s">
        <v>74</v>
      </c>
      <c r="L489" t="s">
        <v>74</v>
      </c>
      <c r="M489" t="s">
        <v>77</v>
      </c>
      <c r="N489" t="s">
        <v>78</v>
      </c>
      <c r="O489" t="s">
        <v>74</v>
      </c>
      <c r="P489" t="s">
        <v>74</v>
      </c>
      <c r="Q489" t="s">
        <v>74</v>
      </c>
      <c r="R489" t="s">
        <v>74</v>
      </c>
      <c r="S489" t="s">
        <v>74</v>
      </c>
      <c r="T489" t="s">
        <v>74</v>
      </c>
      <c r="U489" t="s">
        <v>7794</v>
      </c>
      <c r="V489" t="s">
        <v>7795</v>
      </c>
      <c r="W489" t="s">
        <v>7796</v>
      </c>
      <c r="X489" t="s">
        <v>7797</v>
      </c>
      <c r="Y489" t="s">
        <v>7798</v>
      </c>
      <c r="Z489" t="s">
        <v>7799</v>
      </c>
      <c r="AA489" t="s">
        <v>74</v>
      </c>
      <c r="AB489" t="s">
        <v>74</v>
      </c>
      <c r="AC489" t="s">
        <v>74</v>
      </c>
      <c r="AD489" t="s">
        <v>74</v>
      </c>
      <c r="AE489" t="s">
        <v>74</v>
      </c>
      <c r="AF489" t="s">
        <v>74</v>
      </c>
      <c r="AG489">
        <v>28</v>
      </c>
      <c r="AH489">
        <v>61</v>
      </c>
      <c r="AI489">
        <v>77</v>
      </c>
      <c r="AJ489">
        <v>1</v>
      </c>
      <c r="AK489">
        <v>21</v>
      </c>
      <c r="AL489" t="s">
        <v>348</v>
      </c>
      <c r="AM489" t="s">
        <v>349</v>
      </c>
      <c r="AN489" t="s">
        <v>1523</v>
      </c>
      <c r="AO489" t="s">
        <v>5241</v>
      </c>
      <c r="AP489" t="s">
        <v>5242</v>
      </c>
      <c r="AQ489" t="s">
        <v>74</v>
      </c>
      <c r="AR489" t="s">
        <v>5243</v>
      </c>
      <c r="AS489" t="s">
        <v>5244</v>
      </c>
      <c r="AT489" t="s">
        <v>7763</v>
      </c>
      <c r="AU489">
        <v>2005</v>
      </c>
      <c r="AV489">
        <v>26</v>
      </c>
      <c r="AW489">
        <v>21</v>
      </c>
      <c r="AX489" t="s">
        <v>74</v>
      </c>
      <c r="AY489" t="s">
        <v>74</v>
      </c>
      <c r="AZ489" t="s">
        <v>74</v>
      </c>
      <c r="BA489" t="s">
        <v>74</v>
      </c>
      <c r="BB489">
        <v>4639</v>
      </c>
      <c r="BC489">
        <v>4660</v>
      </c>
      <c r="BD489" t="s">
        <v>74</v>
      </c>
      <c r="BE489" t="s">
        <v>7800</v>
      </c>
      <c r="BF489" t="str">
        <f>HYPERLINK("http://dx.doi.org/10.1080/01431160500213342","http://dx.doi.org/10.1080/01431160500213342")</f>
        <v>http://dx.doi.org/10.1080/01431160500213342</v>
      </c>
      <c r="BG489" t="s">
        <v>74</v>
      </c>
      <c r="BH489" t="s">
        <v>74</v>
      </c>
      <c r="BI489">
        <v>22</v>
      </c>
      <c r="BJ489" t="s">
        <v>5246</v>
      </c>
      <c r="BK489" t="s">
        <v>98</v>
      </c>
      <c r="BL489" t="s">
        <v>5246</v>
      </c>
      <c r="BM489" t="s">
        <v>7801</v>
      </c>
      <c r="BN489" t="s">
        <v>74</v>
      </c>
      <c r="BO489" t="s">
        <v>74</v>
      </c>
      <c r="BP489" t="s">
        <v>74</v>
      </c>
      <c r="BQ489" t="s">
        <v>74</v>
      </c>
      <c r="BR489" t="s">
        <v>101</v>
      </c>
      <c r="BS489" t="s">
        <v>7802</v>
      </c>
      <c r="BT489" t="str">
        <f>HYPERLINK("https%3A%2F%2Fwww.webofscience.com%2Fwos%2Fwoscc%2Ffull-record%2FWOS:000233957300002","View Full Record in Web of Science")</f>
        <v>View Full Record in Web of Science</v>
      </c>
    </row>
    <row r="490" spans="1:72" x14ac:dyDescent="0.15">
      <c r="A490" t="s">
        <v>72</v>
      </c>
      <c r="B490" t="s">
        <v>7803</v>
      </c>
      <c r="C490" t="s">
        <v>74</v>
      </c>
      <c r="D490" t="s">
        <v>74</v>
      </c>
      <c r="E490" t="s">
        <v>74</v>
      </c>
      <c r="F490" t="s">
        <v>7803</v>
      </c>
      <c r="G490" t="s">
        <v>74</v>
      </c>
      <c r="H490" t="s">
        <v>74</v>
      </c>
      <c r="I490" t="s">
        <v>7804</v>
      </c>
      <c r="J490" t="s">
        <v>7805</v>
      </c>
      <c r="K490" t="s">
        <v>74</v>
      </c>
      <c r="L490" t="s">
        <v>74</v>
      </c>
      <c r="M490" t="s">
        <v>77</v>
      </c>
      <c r="N490" t="s">
        <v>289</v>
      </c>
      <c r="O490" t="s">
        <v>74</v>
      </c>
      <c r="P490" t="s">
        <v>74</v>
      </c>
      <c r="Q490" t="s">
        <v>74</v>
      </c>
      <c r="R490" t="s">
        <v>74</v>
      </c>
      <c r="S490" t="s">
        <v>74</v>
      </c>
      <c r="T490" t="s">
        <v>7806</v>
      </c>
      <c r="U490" t="s">
        <v>7807</v>
      </c>
      <c r="V490" t="s">
        <v>7808</v>
      </c>
      <c r="W490" t="s">
        <v>7809</v>
      </c>
      <c r="X490" t="s">
        <v>7810</v>
      </c>
      <c r="Y490" t="s">
        <v>7811</v>
      </c>
      <c r="Z490" t="s">
        <v>7812</v>
      </c>
      <c r="AA490" t="s">
        <v>7813</v>
      </c>
      <c r="AB490" t="s">
        <v>7814</v>
      </c>
      <c r="AC490" t="s">
        <v>7815</v>
      </c>
      <c r="AD490" t="s">
        <v>1015</v>
      </c>
      <c r="AE490" t="s">
        <v>74</v>
      </c>
      <c r="AF490" t="s">
        <v>74</v>
      </c>
      <c r="AG490">
        <v>104</v>
      </c>
      <c r="AH490">
        <v>58</v>
      </c>
      <c r="AI490">
        <v>69</v>
      </c>
      <c r="AJ490">
        <v>2</v>
      </c>
      <c r="AK490">
        <v>21</v>
      </c>
      <c r="AL490" t="s">
        <v>3283</v>
      </c>
      <c r="AM490" t="s">
        <v>1148</v>
      </c>
      <c r="AN490" t="s">
        <v>3284</v>
      </c>
      <c r="AO490" t="s">
        <v>7816</v>
      </c>
      <c r="AP490" t="s">
        <v>7817</v>
      </c>
      <c r="AQ490" t="s">
        <v>74</v>
      </c>
      <c r="AR490" t="s">
        <v>7818</v>
      </c>
      <c r="AS490" t="s">
        <v>7819</v>
      </c>
      <c r="AT490" t="s">
        <v>7763</v>
      </c>
      <c r="AU490">
        <v>2005</v>
      </c>
      <c r="AV490">
        <v>227</v>
      </c>
      <c r="AW490">
        <v>4</v>
      </c>
      <c r="AX490" t="s">
        <v>74</v>
      </c>
      <c r="AY490" t="s">
        <v>74</v>
      </c>
      <c r="AZ490" t="s">
        <v>74</v>
      </c>
      <c r="BA490" t="s">
        <v>74</v>
      </c>
      <c r="BB490">
        <v>290</v>
      </c>
      <c r="BC490">
        <v>310</v>
      </c>
      <c r="BD490" t="s">
        <v>74</v>
      </c>
      <c r="BE490" t="s">
        <v>7820</v>
      </c>
      <c r="BF490" t="str">
        <f>HYPERLINK("http://dx.doi.org/10.1016/j.palaeo.2005.05.021","http://dx.doi.org/10.1016/j.palaeo.2005.05.021")</f>
        <v>http://dx.doi.org/10.1016/j.palaeo.2005.05.021</v>
      </c>
      <c r="BG490" t="s">
        <v>74</v>
      </c>
      <c r="BH490" t="s">
        <v>74</v>
      </c>
      <c r="BI490">
        <v>21</v>
      </c>
      <c r="BJ490" t="s">
        <v>7821</v>
      </c>
      <c r="BK490" t="s">
        <v>98</v>
      </c>
      <c r="BL490" t="s">
        <v>7822</v>
      </c>
      <c r="BM490" t="s">
        <v>7823</v>
      </c>
      <c r="BN490" t="s">
        <v>74</v>
      </c>
      <c r="BO490" t="s">
        <v>74</v>
      </c>
      <c r="BP490" t="s">
        <v>74</v>
      </c>
      <c r="BQ490" t="s">
        <v>74</v>
      </c>
      <c r="BR490" t="s">
        <v>101</v>
      </c>
      <c r="BS490" t="s">
        <v>7824</v>
      </c>
      <c r="BT490" t="str">
        <f>HYPERLINK("https%3A%2F%2Fwww.webofscience.com%2Fwos%2Fwoscc%2Ffull-record%2FWOS:000233282800002","View Full Record in Web of Science")</f>
        <v>View Full Record in Web of Science</v>
      </c>
    </row>
    <row r="491" spans="1:72" x14ac:dyDescent="0.15">
      <c r="A491" t="s">
        <v>72</v>
      </c>
      <c r="B491" t="s">
        <v>7825</v>
      </c>
      <c r="C491" t="s">
        <v>74</v>
      </c>
      <c r="D491" t="s">
        <v>74</v>
      </c>
      <c r="E491" t="s">
        <v>74</v>
      </c>
      <c r="F491" t="s">
        <v>7825</v>
      </c>
      <c r="G491" t="s">
        <v>74</v>
      </c>
      <c r="H491" t="s">
        <v>74</v>
      </c>
      <c r="I491" t="s">
        <v>7826</v>
      </c>
      <c r="J491" t="s">
        <v>5063</v>
      </c>
      <c r="K491" t="s">
        <v>74</v>
      </c>
      <c r="L491" t="s">
        <v>74</v>
      </c>
      <c r="M491" t="s">
        <v>77</v>
      </c>
      <c r="N491" t="s">
        <v>78</v>
      </c>
      <c r="O491" t="s">
        <v>74</v>
      </c>
      <c r="P491" t="s">
        <v>74</v>
      </c>
      <c r="Q491" t="s">
        <v>74</v>
      </c>
      <c r="R491" t="s">
        <v>74</v>
      </c>
      <c r="S491" t="s">
        <v>74</v>
      </c>
      <c r="T491" t="s">
        <v>74</v>
      </c>
      <c r="U491" t="s">
        <v>7827</v>
      </c>
      <c r="V491" t="s">
        <v>7828</v>
      </c>
      <c r="W491" t="s">
        <v>7829</v>
      </c>
      <c r="X491" t="s">
        <v>7830</v>
      </c>
      <c r="Y491" t="s">
        <v>7831</v>
      </c>
      <c r="Z491" t="s">
        <v>7832</v>
      </c>
      <c r="AA491" t="s">
        <v>7833</v>
      </c>
      <c r="AB491" t="s">
        <v>7834</v>
      </c>
      <c r="AC491" t="s">
        <v>74</v>
      </c>
      <c r="AD491" t="s">
        <v>74</v>
      </c>
      <c r="AE491" t="s">
        <v>74</v>
      </c>
      <c r="AF491" t="s">
        <v>74</v>
      </c>
      <c r="AG491">
        <v>49</v>
      </c>
      <c r="AH491">
        <v>59</v>
      </c>
      <c r="AI491">
        <v>63</v>
      </c>
      <c r="AJ491">
        <v>2</v>
      </c>
      <c r="AK491">
        <v>15</v>
      </c>
      <c r="AL491" t="s">
        <v>4487</v>
      </c>
      <c r="AM491" t="s">
        <v>2541</v>
      </c>
      <c r="AN491" t="s">
        <v>4488</v>
      </c>
      <c r="AO491" t="s">
        <v>5072</v>
      </c>
      <c r="AP491" t="s">
        <v>74</v>
      </c>
      <c r="AQ491" t="s">
        <v>74</v>
      </c>
      <c r="AR491" t="s">
        <v>5074</v>
      </c>
      <c r="AS491" t="s">
        <v>5075</v>
      </c>
      <c r="AT491" t="s">
        <v>7835</v>
      </c>
      <c r="AU491">
        <v>2005</v>
      </c>
      <c r="AV491">
        <v>110</v>
      </c>
      <c r="AW491" t="s">
        <v>7677</v>
      </c>
      <c r="AX491" t="s">
        <v>74</v>
      </c>
      <c r="AY491" t="s">
        <v>74</v>
      </c>
      <c r="AZ491" t="s">
        <v>74</v>
      </c>
      <c r="BA491" t="s">
        <v>74</v>
      </c>
      <c r="BB491" t="s">
        <v>74</v>
      </c>
      <c r="BC491" t="s">
        <v>74</v>
      </c>
      <c r="BD491" t="s">
        <v>7836</v>
      </c>
      <c r="BE491" t="s">
        <v>7837</v>
      </c>
      <c r="BF491" t="str">
        <f>HYPERLINK("http://dx.doi.org/10.1029/2005JD006113","http://dx.doi.org/10.1029/2005JD006113")</f>
        <v>http://dx.doi.org/10.1029/2005JD006113</v>
      </c>
      <c r="BG491" t="s">
        <v>74</v>
      </c>
      <c r="BH491" t="s">
        <v>74</v>
      </c>
      <c r="BI491">
        <v>14</v>
      </c>
      <c r="BJ491" t="s">
        <v>2033</v>
      </c>
      <c r="BK491" t="s">
        <v>98</v>
      </c>
      <c r="BL491" t="s">
        <v>2033</v>
      </c>
      <c r="BM491" t="s">
        <v>7838</v>
      </c>
      <c r="BN491" t="s">
        <v>74</v>
      </c>
      <c r="BO491" t="s">
        <v>1900</v>
      </c>
      <c r="BP491" t="s">
        <v>74</v>
      </c>
      <c r="BQ491" t="s">
        <v>74</v>
      </c>
      <c r="BR491" t="s">
        <v>101</v>
      </c>
      <c r="BS491" t="s">
        <v>7839</v>
      </c>
      <c r="BT491" t="str">
        <f>HYPERLINK("https%3A%2F%2Fwww.webofscience.com%2Fwos%2Fwoscc%2Ffull-record%2FWOS:000233355400009","View Full Record in Web of Science")</f>
        <v>View Full Record in Web of Science</v>
      </c>
    </row>
    <row r="492" spans="1:72" x14ac:dyDescent="0.15">
      <c r="A492" t="s">
        <v>72</v>
      </c>
      <c r="B492" t="s">
        <v>7840</v>
      </c>
      <c r="C492" t="s">
        <v>74</v>
      </c>
      <c r="D492" t="s">
        <v>74</v>
      </c>
      <c r="E492" t="s">
        <v>74</v>
      </c>
      <c r="F492" t="s">
        <v>7840</v>
      </c>
      <c r="G492" t="s">
        <v>74</v>
      </c>
      <c r="H492" t="s">
        <v>74</v>
      </c>
      <c r="I492" t="s">
        <v>7841</v>
      </c>
      <c r="J492" t="s">
        <v>7407</v>
      </c>
      <c r="K492" t="s">
        <v>74</v>
      </c>
      <c r="L492" t="s">
        <v>74</v>
      </c>
      <c r="M492" t="s">
        <v>77</v>
      </c>
      <c r="N492" t="s">
        <v>78</v>
      </c>
      <c r="O492" t="s">
        <v>74</v>
      </c>
      <c r="P492" t="s">
        <v>74</v>
      </c>
      <c r="Q492" t="s">
        <v>74</v>
      </c>
      <c r="R492" t="s">
        <v>74</v>
      </c>
      <c r="S492" t="s">
        <v>74</v>
      </c>
      <c r="T492" t="s">
        <v>74</v>
      </c>
      <c r="U492" t="s">
        <v>7842</v>
      </c>
      <c r="V492" t="s">
        <v>7843</v>
      </c>
      <c r="W492" t="s">
        <v>7844</v>
      </c>
      <c r="X492" t="s">
        <v>7845</v>
      </c>
      <c r="Y492" t="s">
        <v>7846</v>
      </c>
      <c r="Z492" t="s">
        <v>7847</v>
      </c>
      <c r="AA492" t="s">
        <v>74</v>
      </c>
      <c r="AB492" t="s">
        <v>7848</v>
      </c>
      <c r="AC492" t="s">
        <v>74</v>
      </c>
      <c r="AD492" t="s">
        <v>74</v>
      </c>
      <c r="AE492" t="s">
        <v>74</v>
      </c>
      <c r="AF492" t="s">
        <v>74</v>
      </c>
      <c r="AG492">
        <v>28</v>
      </c>
      <c r="AH492">
        <v>24</v>
      </c>
      <c r="AI492">
        <v>25</v>
      </c>
      <c r="AJ492">
        <v>0</v>
      </c>
      <c r="AK492">
        <v>9</v>
      </c>
      <c r="AL492" t="s">
        <v>431</v>
      </c>
      <c r="AM492" t="s">
        <v>432</v>
      </c>
      <c r="AN492" t="s">
        <v>433</v>
      </c>
      <c r="AO492" t="s">
        <v>7416</v>
      </c>
      <c r="AP492" t="s">
        <v>7417</v>
      </c>
      <c r="AQ492" t="s">
        <v>74</v>
      </c>
      <c r="AR492" t="s">
        <v>7418</v>
      </c>
      <c r="AS492" t="s">
        <v>7419</v>
      </c>
      <c r="AT492" t="s">
        <v>7849</v>
      </c>
      <c r="AU492">
        <v>2005</v>
      </c>
      <c r="AV492">
        <v>5</v>
      </c>
      <c r="AW492" t="s">
        <v>74</v>
      </c>
      <c r="AX492" t="s">
        <v>74</v>
      </c>
      <c r="AY492" t="s">
        <v>74</v>
      </c>
      <c r="AZ492" t="s">
        <v>74</v>
      </c>
      <c r="BA492" t="s">
        <v>74</v>
      </c>
      <c r="BB492">
        <v>2973</v>
      </c>
      <c r="BC492">
        <v>2980</v>
      </c>
      <c r="BD492" t="s">
        <v>74</v>
      </c>
      <c r="BE492" t="s">
        <v>7850</v>
      </c>
      <c r="BF492" t="str">
        <f>HYPERLINK("http://dx.doi.org/10.5194/acp-5-2973-2005","http://dx.doi.org/10.5194/acp-5-2973-2005")</f>
        <v>http://dx.doi.org/10.5194/acp-5-2973-2005</v>
      </c>
      <c r="BG492" t="s">
        <v>74</v>
      </c>
      <c r="BH492" t="s">
        <v>74</v>
      </c>
      <c r="BI492">
        <v>8</v>
      </c>
      <c r="BJ492" t="s">
        <v>6080</v>
      </c>
      <c r="BK492" t="s">
        <v>98</v>
      </c>
      <c r="BL492" t="s">
        <v>6081</v>
      </c>
      <c r="BM492" t="s">
        <v>7851</v>
      </c>
      <c r="BN492" t="s">
        <v>74</v>
      </c>
      <c r="BO492" t="s">
        <v>7852</v>
      </c>
      <c r="BP492" t="s">
        <v>74</v>
      </c>
      <c r="BQ492" t="s">
        <v>74</v>
      </c>
      <c r="BR492" t="s">
        <v>101</v>
      </c>
      <c r="BS492" t="s">
        <v>7853</v>
      </c>
      <c r="BT492" t="str">
        <f>HYPERLINK("https%3A%2F%2Fwww.webofscience.com%2Fwos%2Fwoscc%2Ffull-record%2FWOS:000233122900001","View Full Record in Web of Science")</f>
        <v>View Full Record in Web of Science</v>
      </c>
    </row>
    <row r="493" spans="1:72" x14ac:dyDescent="0.15">
      <c r="A493" t="s">
        <v>72</v>
      </c>
      <c r="B493" t="s">
        <v>7854</v>
      </c>
      <c r="C493" t="s">
        <v>74</v>
      </c>
      <c r="D493" t="s">
        <v>74</v>
      </c>
      <c r="E493" t="s">
        <v>74</v>
      </c>
      <c r="F493" t="s">
        <v>7854</v>
      </c>
      <c r="G493" t="s">
        <v>74</v>
      </c>
      <c r="H493" t="s">
        <v>74</v>
      </c>
      <c r="I493" t="s">
        <v>7855</v>
      </c>
      <c r="J493" t="s">
        <v>5646</v>
      </c>
      <c r="K493" t="s">
        <v>74</v>
      </c>
      <c r="L493" t="s">
        <v>74</v>
      </c>
      <c r="M493" t="s">
        <v>77</v>
      </c>
      <c r="N493" t="s">
        <v>78</v>
      </c>
      <c r="O493" t="s">
        <v>74</v>
      </c>
      <c r="P493" t="s">
        <v>74</v>
      </c>
      <c r="Q493" t="s">
        <v>74</v>
      </c>
      <c r="R493" t="s">
        <v>74</v>
      </c>
      <c r="S493" t="s">
        <v>74</v>
      </c>
      <c r="T493" t="s">
        <v>7856</v>
      </c>
      <c r="U493" t="s">
        <v>7857</v>
      </c>
      <c r="V493" t="s">
        <v>7858</v>
      </c>
      <c r="W493" t="s">
        <v>7859</v>
      </c>
      <c r="X493" t="s">
        <v>7860</v>
      </c>
      <c r="Y493" t="s">
        <v>7861</v>
      </c>
      <c r="Z493" t="s">
        <v>7862</v>
      </c>
      <c r="AA493" t="s">
        <v>74</v>
      </c>
      <c r="AB493" t="s">
        <v>7863</v>
      </c>
      <c r="AC493" t="s">
        <v>74</v>
      </c>
      <c r="AD493" t="s">
        <v>74</v>
      </c>
      <c r="AE493" t="s">
        <v>74</v>
      </c>
      <c r="AF493" t="s">
        <v>74</v>
      </c>
      <c r="AG493">
        <v>42</v>
      </c>
      <c r="AH493">
        <v>14</v>
      </c>
      <c r="AI493">
        <v>15</v>
      </c>
      <c r="AJ493">
        <v>1</v>
      </c>
      <c r="AK493">
        <v>8</v>
      </c>
      <c r="AL493" t="s">
        <v>3283</v>
      </c>
      <c r="AM493" t="s">
        <v>1148</v>
      </c>
      <c r="AN493" t="s">
        <v>3284</v>
      </c>
      <c r="AO493" t="s">
        <v>5654</v>
      </c>
      <c r="AP493" t="s">
        <v>5655</v>
      </c>
      <c r="AQ493" t="s">
        <v>74</v>
      </c>
      <c r="AR493" t="s">
        <v>5646</v>
      </c>
      <c r="AS493" t="s">
        <v>5656</v>
      </c>
      <c r="AT493" t="s">
        <v>7849</v>
      </c>
      <c r="AU493">
        <v>2005</v>
      </c>
      <c r="AV493">
        <v>360</v>
      </c>
      <c r="AW493">
        <v>2</v>
      </c>
      <c r="AX493" t="s">
        <v>74</v>
      </c>
      <c r="AY493" t="s">
        <v>74</v>
      </c>
      <c r="AZ493" t="s">
        <v>74</v>
      </c>
      <c r="BA493" t="s">
        <v>74</v>
      </c>
      <c r="BB493">
        <v>103</v>
      </c>
      <c r="BC493">
        <v>110</v>
      </c>
      <c r="BD493" t="s">
        <v>74</v>
      </c>
      <c r="BE493" t="s">
        <v>7864</v>
      </c>
      <c r="BF493" t="str">
        <f>HYPERLINK("http://dx.doi.org/10.1016/j.gene.2005.06.007","http://dx.doi.org/10.1016/j.gene.2005.06.007")</f>
        <v>http://dx.doi.org/10.1016/j.gene.2005.06.007</v>
      </c>
      <c r="BG493" t="s">
        <v>74</v>
      </c>
      <c r="BH493" t="s">
        <v>74</v>
      </c>
      <c r="BI493">
        <v>8</v>
      </c>
      <c r="BJ493" t="s">
        <v>5659</v>
      </c>
      <c r="BK493" t="s">
        <v>98</v>
      </c>
      <c r="BL493" t="s">
        <v>5659</v>
      </c>
      <c r="BM493" t="s">
        <v>7865</v>
      </c>
      <c r="BN493">
        <v>16143466</v>
      </c>
      <c r="BO493" t="s">
        <v>74</v>
      </c>
      <c r="BP493" t="s">
        <v>74</v>
      </c>
      <c r="BQ493" t="s">
        <v>74</v>
      </c>
      <c r="BR493" t="s">
        <v>101</v>
      </c>
      <c r="BS493" t="s">
        <v>7866</v>
      </c>
      <c r="BT493" t="str">
        <f>HYPERLINK("https%3A%2F%2Fwww.webofscience.com%2Fwos%2Fwoscc%2Ffull-record%2FWOS:000233058400003","View Full Record in Web of Science")</f>
        <v>View Full Record in Web of Science</v>
      </c>
    </row>
    <row r="494" spans="1:72" x14ac:dyDescent="0.15">
      <c r="A494" t="s">
        <v>72</v>
      </c>
      <c r="B494" t="s">
        <v>7867</v>
      </c>
      <c r="C494" t="s">
        <v>74</v>
      </c>
      <c r="D494" t="s">
        <v>74</v>
      </c>
      <c r="E494" t="s">
        <v>74</v>
      </c>
      <c r="F494" t="s">
        <v>7867</v>
      </c>
      <c r="G494" t="s">
        <v>74</v>
      </c>
      <c r="H494" t="s">
        <v>74</v>
      </c>
      <c r="I494" t="s">
        <v>7868</v>
      </c>
      <c r="J494" t="s">
        <v>7425</v>
      </c>
      <c r="K494" t="s">
        <v>74</v>
      </c>
      <c r="L494" t="s">
        <v>74</v>
      </c>
      <c r="M494" t="s">
        <v>77</v>
      </c>
      <c r="N494" t="s">
        <v>78</v>
      </c>
      <c r="O494" t="s">
        <v>74</v>
      </c>
      <c r="P494" t="s">
        <v>74</v>
      </c>
      <c r="Q494" t="s">
        <v>74</v>
      </c>
      <c r="R494" t="s">
        <v>74</v>
      </c>
      <c r="S494" t="s">
        <v>74</v>
      </c>
      <c r="T494" t="s">
        <v>7869</v>
      </c>
      <c r="U494" t="s">
        <v>7870</v>
      </c>
      <c r="V494" t="s">
        <v>7871</v>
      </c>
      <c r="W494" t="s">
        <v>619</v>
      </c>
      <c r="X494" t="s">
        <v>620</v>
      </c>
      <c r="Y494" t="s">
        <v>7872</v>
      </c>
      <c r="Z494" t="s">
        <v>7873</v>
      </c>
      <c r="AA494" t="s">
        <v>7874</v>
      </c>
      <c r="AB494" t="s">
        <v>7875</v>
      </c>
      <c r="AC494" t="s">
        <v>74</v>
      </c>
      <c r="AD494" t="s">
        <v>74</v>
      </c>
      <c r="AE494" t="s">
        <v>74</v>
      </c>
      <c r="AF494" t="s">
        <v>74</v>
      </c>
      <c r="AG494">
        <v>76</v>
      </c>
      <c r="AH494">
        <v>33</v>
      </c>
      <c r="AI494">
        <v>40</v>
      </c>
      <c r="AJ494">
        <v>0</v>
      </c>
      <c r="AK494">
        <v>11</v>
      </c>
      <c r="AL494" t="s">
        <v>4487</v>
      </c>
      <c r="AM494" t="s">
        <v>2541</v>
      </c>
      <c r="AN494" t="s">
        <v>4488</v>
      </c>
      <c r="AO494" t="s">
        <v>7435</v>
      </c>
      <c r="AP494" t="s">
        <v>74</v>
      </c>
      <c r="AQ494" t="s">
        <v>74</v>
      </c>
      <c r="AR494" t="s">
        <v>7436</v>
      </c>
      <c r="AS494" t="s">
        <v>7437</v>
      </c>
      <c r="AT494" t="s">
        <v>7876</v>
      </c>
      <c r="AU494">
        <v>2005</v>
      </c>
      <c r="AV494">
        <v>6</v>
      </c>
      <c r="AW494" t="s">
        <v>74</v>
      </c>
      <c r="AX494" t="s">
        <v>74</v>
      </c>
      <c r="AY494" t="s">
        <v>74</v>
      </c>
      <c r="AZ494" t="s">
        <v>74</v>
      </c>
      <c r="BA494" t="s">
        <v>74</v>
      </c>
      <c r="BB494" t="s">
        <v>74</v>
      </c>
      <c r="BC494" t="s">
        <v>74</v>
      </c>
      <c r="BD494" t="s">
        <v>7877</v>
      </c>
      <c r="BE494" t="s">
        <v>7878</v>
      </c>
      <c r="BF494" t="str">
        <f>HYPERLINK("http://dx.doi.org/10.1029/2005GC000943","http://dx.doi.org/10.1029/2005GC000943")</f>
        <v>http://dx.doi.org/10.1029/2005GC000943</v>
      </c>
      <c r="BG494" t="s">
        <v>74</v>
      </c>
      <c r="BH494" t="s">
        <v>74</v>
      </c>
      <c r="BI494">
        <v>21</v>
      </c>
      <c r="BJ494" t="s">
        <v>1348</v>
      </c>
      <c r="BK494" t="s">
        <v>98</v>
      </c>
      <c r="BL494" t="s">
        <v>1348</v>
      </c>
      <c r="BM494" t="s">
        <v>7879</v>
      </c>
      <c r="BN494" t="s">
        <v>74</v>
      </c>
      <c r="BO494" t="s">
        <v>722</v>
      </c>
      <c r="BP494" t="s">
        <v>74</v>
      </c>
      <c r="BQ494" t="s">
        <v>74</v>
      </c>
      <c r="BR494" t="s">
        <v>101</v>
      </c>
      <c r="BS494" t="s">
        <v>7880</v>
      </c>
      <c r="BT494" t="str">
        <f>HYPERLINK("https%3A%2F%2Fwww.webofscience.com%2Fwos%2Fwoscc%2Ffull-record%2FWOS:000233158700001","View Full Record in Web of Science")</f>
        <v>View Full Record in Web of Science</v>
      </c>
    </row>
    <row r="495" spans="1:72" x14ac:dyDescent="0.15">
      <c r="A495" t="s">
        <v>72</v>
      </c>
      <c r="B495" t="s">
        <v>7881</v>
      </c>
      <c r="C495" t="s">
        <v>74</v>
      </c>
      <c r="D495" t="s">
        <v>74</v>
      </c>
      <c r="E495" t="s">
        <v>74</v>
      </c>
      <c r="F495" t="s">
        <v>7881</v>
      </c>
      <c r="G495" t="s">
        <v>74</v>
      </c>
      <c r="H495" t="s">
        <v>74</v>
      </c>
      <c r="I495" t="s">
        <v>7882</v>
      </c>
      <c r="J495" t="s">
        <v>5134</v>
      </c>
      <c r="K495" t="s">
        <v>74</v>
      </c>
      <c r="L495" t="s">
        <v>74</v>
      </c>
      <c r="M495" t="s">
        <v>77</v>
      </c>
      <c r="N495" t="s">
        <v>78</v>
      </c>
      <c r="O495" t="s">
        <v>74</v>
      </c>
      <c r="P495" t="s">
        <v>74</v>
      </c>
      <c r="Q495" t="s">
        <v>74</v>
      </c>
      <c r="R495" t="s">
        <v>74</v>
      </c>
      <c r="S495" t="s">
        <v>74</v>
      </c>
      <c r="T495" t="s">
        <v>74</v>
      </c>
      <c r="U495" t="s">
        <v>7883</v>
      </c>
      <c r="V495" t="s">
        <v>7884</v>
      </c>
      <c r="W495" t="s">
        <v>7885</v>
      </c>
      <c r="X495" t="s">
        <v>7886</v>
      </c>
      <c r="Y495" t="s">
        <v>7887</v>
      </c>
      <c r="Z495" t="s">
        <v>7888</v>
      </c>
      <c r="AA495" t="s">
        <v>74</v>
      </c>
      <c r="AB495" t="s">
        <v>7848</v>
      </c>
      <c r="AC495" t="s">
        <v>74</v>
      </c>
      <c r="AD495" t="s">
        <v>74</v>
      </c>
      <c r="AE495" t="s">
        <v>74</v>
      </c>
      <c r="AF495" t="s">
        <v>74</v>
      </c>
      <c r="AG495">
        <v>21</v>
      </c>
      <c r="AH495">
        <v>35</v>
      </c>
      <c r="AI495">
        <v>36</v>
      </c>
      <c r="AJ495">
        <v>0</v>
      </c>
      <c r="AK495">
        <v>2</v>
      </c>
      <c r="AL495" t="s">
        <v>4487</v>
      </c>
      <c r="AM495" t="s">
        <v>2541</v>
      </c>
      <c r="AN495" t="s">
        <v>4488</v>
      </c>
      <c r="AO495" t="s">
        <v>5142</v>
      </c>
      <c r="AP495" t="s">
        <v>5143</v>
      </c>
      <c r="AQ495" t="s">
        <v>74</v>
      </c>
      <c r="AR495" t="s">
        <v>5144</v>
      </c>
      <c r="AS495" t="s">
        <v>5145</v>
      </c>
      <c r="AT495" t="s">
        <v>7876</v>
      </c>
      <c r="AU495">
        <v>2005</v>
      </c>
      <c r="AV495">
        <v>32</v>
      </c>
      <c r="AW495">
        <v>21</v>
      </c>
      <c r="AX495" t="s">
        <v>74</v>
      </c>
      <c r="AY495" t="s">
        <v>74</v>
      </c>
      <c r="AZ495" t="s">
        <v>74</v>
      </c>
      <c r="BA495" t="s">
        <v>74</v>
      </c>
      <c r="BB495" t="s">
        <v>74</v>
      </c>
      <c r="BC495" t="s">
        <v>74</v>
      </c>
      <c r="BD495" t="s">
        <v>7889</v>
      </c>
      <c r="BE495" t="s">
        <v>7890</v>
      </c>
      <c r="BF495" t="str">
        <f>HYPERLINK("http://dx.doi.org/10.1029/2005GL023886","http://dx.doi.org/10.1029/2005GL023886")</f>
        <v>http://dx.doi.org/10.1029/2005GL023886</v>
      </c>
      <c r="BG495" t="s">
        <v>74</v>
      </c>
      <c r="BH495" t="s">
        <v>74</v>
      </c>
      <c r="BI495">
        <v>4</v>
      </c>
      <c r="BJ495" t="s">
        <v>1129</v>
      </c>
      <c r="BK495" t="s">
        <v>98</v>
      </c>
      <c r="BL495" t="s">
        <v>1130</v>
      </c>
      <c r="BM495" t="s">
        <v>7891</v>
      </c>
      <c r="BN495" t="s">
        <v>74</v>
      </c>
      <c r="BO495" t="s">
        <v>1900</v>
      </c>
      <c r="BP495" t="s">
        <v>74</v>
      </c>
      <c r="BQ495" t="s">
        <v>74</v>
      </c>
      <c r="BR495" t="s">
        <v>101</v>
      </c>
      <c r="BS495" t="s">
        <v>7892</v>
      </c>
      <c r="BT495" t="str">
        <f>HYPERLINK("https%3A%2F%2Fwww.webofscience.com%2Fwos%2Fwoscc%2Ffull-record%2FWOS:000233159800007","View Full Record in Web of Science")</f>
        <v>View Full Record in Web of Science</v>
      </c>
    </row>
    <row r="496" spans="1:72" x14ac:dyDescent="0.15">
      <c r="A496" t="s">
        <v>72</v>
      </c>
      <c r="B496" t="s">
        <v>7893</v>
      </c>
      <c r="C496" t="s">
        <v>74</v>
      </c>
      <c r="D496" t="s">
        <v>74</v>
      </c>
      <c r="E496" t="s">
        <v>74</v>
      </c>
      <c r="F496" t="s">
        <v>7893</v>
      </c>
      <c r="G496" t="s">
        <v>74</v>
      </c>
      <c r="H496" t="s">
        <v>74</v>
      </c>
      <c r="I496" t="s">
        <v>7894</v>
      </c>
      <c r="J496" t="s">
        <v>5063</v>
      </c>
      <c r="K496" t="s">
        <v>74</v>
      </c>
      <c r="L496" t="s">
        <v>74</v>
      </c>
      <c r="M496" t="s">
        <v>77</v>
      </c>
      <c r="N496" t="s">
        <v>78</v>
      </c>
      <c r="O496" t="s">
        <v>74</v>
      </c>
      <c r="P496" t="s">
        <v>74</v>
      </c>
      <c r="Q496" t="s">
        <v>74</v>
      </c>
      <c r="R496" t="s">
        <v>74</v>
      </c>
      <c r="S496" t="s">
        <v>74</v>
      </c>
      <c r="T496" t="s">
        <v>74</v>
      </c>
      <c r="U496" t="s">
        <v>7895</v>
      </c>
      <c r="V496" t="s">
        <v>7896</v>
      </c>
      <c r="W496" t="s">
        <v>7897</v>
      </c>
      <c r="X496" t="s">
        <v>7898</v>
      </c>
      <c r="Y496" t="s">
        <v>7899</v>
      </c>
      <c r="Z496" t="s">
        <v>7900</v>
      </c>
      <c r="AA496" t="s">
        <v>7901</v>
      </c>
      <c r="AB496" t="s">
        <v>7902</v>
      </c>
      <c r="AC496" t="s">
        <v>74</v>
      </c>
      <c r="AD496" t="s">
        <v>74</v>
      </c>
      <c r="AE496" t="s">
        <v>74</v>
      </c>
      <c r="AF496" t="s">
        <v>74</v>
      </c>
      <c r="AG496">
        <v>32</v>
      </c>
      <c r="AH496">
        <v>46</v>
      </c>
      <c r="AI496">
        <v>57</v>
      </c>
      <c r="AJ496">
        <v>1</v>
      </c>
      <c r="AK496">
        <v>26</v>
      </c>
      <c r="AL496" t="s">
        <v>4487</v>
      </c>
      <c r="AM496" t="s">
        <v>2541</v>
      </c>
      <c r="AN496" t="s">
        <v>4488</v>
      </c>
      <c r="AO496" t="s">
        <v>5072</v>
      </c>
      <c r="AP496" t="s">
        <v>5073</v>
      </c>
      <c r="AQ496" t="s">
        <v>74</v>
      </c>
      <c r="AR496" t="s">
        <v>5074</v>
      </c>
      <c r="AS496" t="s">
        <v>5075</v>
      </c>
      <c r="AT496" t="s">
        <v>7876</v>
      </c>
      <c r="AU496">
        <v>2005</v>
      </c>
      <c r="AV496">
        <v>110</v>
      </c>
      <c r="AW496" t="s">
        <v>7677</v>
      </c>
      <c r="AX496" t="s">
        <v>74</v>
      </c>
      <c r="AY496" t="s">
        <v>74</v>
      </c>
      <c r="AZ496" t="s">
        <v>74</v>
      </c>
      <c r="BA496" t="s">
        <v>74</v>
      </c>
      <c r="BB496" t="s">
        <v>74</v>
      </c>
      <c r="BC496" t="s">
        <v>74</v>
      </c>
      <c r="BD496" t="s">
        <v>7903</v>
      </c>
      <c r="BE496" t="s">
        <v>7904</v>
      </c>
      <c r="BF496" t="str">
        <f>HYPERLINK("http://dx.doi.org/10.1029/2005JD006066","http://dx.doi.org/10.1029/2005JD006066")</f>
        <v>http://dx.doi.org/10.1029/2005JD006066</v>
      </c>
      <c r="BG496" t="s">
        <v>74</v>
      </c>
      <c r="BH496" t="s">
        <v>74</v>
      </c>
      <c r="BI496">
        <v>8</v>
      </c>
      <c r="BJ496" t="s">
        <v>2033</v>
      </c>
      <c r="BK496" t="s">
        <v>98</v>
      </c>
      <c r="BL496" t="s">
        <v>2033</v>
      </c>
      <c r="BM496" t="s">
        <v>7905</v>
      </c>
      <c r="BN496" t="s">
        <v>74</v>
      </c>
      <c r="BO496" t="s">
        <v>2276</v>
      </c>
      <c r="BP496" t="s">
        <v>74</v>
      </c>
      <c r="BQ496" t="s">
        <v>74</v>
      </c>
      <c r="BR496" t="s">
        <v>101</v>
      </c>
      <c r="BS496" t="s">
        <v>7906</v>
      </c>
      <c r="BT496" t="str">
        <f>HYPERLINK("https%3A%2F%2Fwww.webofscience.com%2Fwos%2Fwoscc%2Ffull-record%2FWOS:000233161100003","View Full Record in Web of Science")</f>
        <v>View Full Record in Web of Science</v>
      </c>
    </row>
    <row r="497" spans="1:72" x14ac:dyDescent="0.15">
      <c r="A497" t="s">
        <v>72</v>
      </c>
      <c r="B497" t="s">
        <v>7907</v>
      </c>
      <c r="C497" t="s">
        <v>74</v>
      </c>
      <c r="D497" t="s">
        <v>74</v>
      </c>
      <c r="E497" t="s">
        <v>74</v>
      </c>
      <c r="F497" t="s">
        <v>7907</v>
      </c>
      <c r="G497" t="s">
        <v>74</v>
      </c>
      <c r="H497" t="s">
        <v>74</v>
      </c>
      <c r="I497" t="s">
        <v>7908</v>
      </c>
      <c r="J497" t="s">
        <v>5063</v>
      </c>
      <c r="K497" t="s">
        <v>74</v>
      </c>
      <c r="L497" t="s">
        <v>74</v>
      </c>
      <c r="M497" t="s">
        <v>77</v>
      </c>
      <c r="N497" t="s">
        <v>78</v>
      </c>
      <c r="O497" t="s">
        <v>74</v>
      </c>
      <c r="P497" t="s">
        <v>74</v>
      </c>
      <c r="Q497" t="s">
        <v>74</v>
      </c>
      <c r="R497" t="s">
        <v>74</v>
      </c>
      <c r="S497" t="s">
        <v>74</v>
      </c>
      <c r="T497" t="s">
        <v>74</v>
      </c>
      <c r="U497" t="s">
        <v>7909</v>
      </c>
      <c r="V497" t="s">
        <v>7910</v>
      </c>
      <c r="W497" t="s">
        <v>7911</v>
      </c>
      <c r="X497" t="s">
        <v>7912</v>
      </c>
      <c r="Y497" t="s">
        <v>7913</v>
      </c>
      <c r="Z497" t="s">
        <v>7914</v>
      </c>
      <c r="AA497" t="s">
        <v>7915</v>
      </c>
      <c r="AB497" t="s">
        <v>7916</v>
      </c>
      <c r="AC497" t="s">
        <v>74</v>
      </c>
      <c r="AD497" t="s">
        <v>74</v>
      </c>
      <c r="AE497" t="s">
        <v>74</v>
      </c>
      <c r="AF497" t="s">
        <v>74</v>
      </c>
      <c r="AG497">
        <v>69</v>
      </c>
      <c r="AH497">
        <v>64</v>
      </c>
      <c r="AI497">
        <v>80</v>
      </c>
      <c r="AJ497">
        <v>0</v>
      </c>
      <c r="AK497">
        <v>33</v>
      </c>
      <c r="AL497" t="s">
        <v>4487</v>
      </c>
      <c r="AM497" t="s">
        <v>2541</v>
      </c>
      <c r="AN497" t="s">
        <v>4488</v>
      </c>
      <c r="AO497" t="s">
        <v>5072</v>
      </c>
      <c r="AP497" t="s">
        <v>74</v>
      </c>
      <c r="AQ497" t="s">
        <v>74</v>
      </c>
      <c r="AR497" t="s">
        <v>5074</v>
      </c>
      <c r="AS497" t="s">
        <v>5075</v>
      </c>
      <c r="AT497" t="s">
        <v>7917</v>
      </c>
      <c r="AU497">
        <v>2005</v>
      </c>
      <c r="AV497">
        <v>110</v>
      </c>
      <c r="AW497" t="s">
        <v>7677</v>
      </c>
      <c r="AX497" t="s">
        <v>74</v>
      </c>
      <c r="AY497" t="s">
        <v>74</v>
      </c>
      <c r="AZ497" t="s">
        <v>74</v>
      </c>
      <c r="BA497" t="s">
        <v>74</v>
      </c>
      <c r="BB497" t="s">
        <v>74</v>
      </c>
      <c r="BC497" t="s">
        <v>74</v>
      </c>
      <c r="BD497" t="s">
        <v>7918</v>
      </c>
      <c r="BE497" t="s">
        <v>7919</v>
      </c>
      <c r="BF497" t="str">
        <f>HYPERLINK("http://dx.doi.org/10.1029/2004JD005603","http://dx.doi.org/10.1029/2004JD005603")</f>
        <v>http://dx.doi.org/10.1029/2004JD005603</v>
      </c>
      <c r="BG497" t="s">
        <v>74</v>
      </c>
      <c r="BH497" t="s">
        <v>74</v>
      </c>
      <c r="BI497">
        <v>19</v>
      </c>
      <c r="BJ497" t="s">
        <v>2033</v>
      </c>
      <c r="BK497" t="s">
        <v>98</v>
      </c>
      <c r="BL497" t="s">
        <v>2033</v>
      </c>
      <c r="BM497" t="s">
        <v>7920</v>
      </c>
      <c r="BN497" t="s">
        <v>74</v>
      </c>
      <c r="BO497" t="s">
        <v>5301</v>
      </c>
      <c r="BP497" t="s">
        <v>74</v>
      </c>
      <c r="BQ497" t="s">
        <v>74</v>
      </c>
      <c r="BR497" t="s">
        <v>101</v>
      </c>
      <c r="BS497" t="s">
        <v>7921</v>
      </c>
      <c r="BT497" t="str">
        <f>HYPERLINK("https%3A%2F%2Fwww.webofscience.com%2Fwos%2Fwoscc%2Ffull-record%2FWOS:000233160800001","View Full Record in Web of Science")</f>
        <v>View Full Record in Web of Science</v>
      </c>
    </row>
    <row r="498" spans="1:72" x14ac:dyDescent="0.15">
      <c r="A498" t="s">
        <v>72</v>
      </c>
      <c r="B498" t="s">
        <v>7922</v>
      </c>
      <c r="C498" t="s">
        <v>74</v>
      </c>
      <c r="D498" t="s">
        <v>74</v>
      </c>
      <c r="E498" t="s">
        <v>74</v>
      </c>
      <c r="F498" t="s">
        <v>7922</v>
      </c>
      <c r="G498" t="s">
        <v>74</v>
      </c>
      <c r="H498" t="s">
        <v>74</v>
      </c>
      <c r="I498" t="s">
        <v>7923</v>
      </c>
      <c r="J498" t="s">
        <v>6667</v>
      </c>
      <c r="K498" t="s">
        <v>74</v>
      </c>
      <c r="L498" t="s">
        <v>74</v>
      </c>
      <c r="M498" t="s">
        <v>77</v>
      </c>
      <c r="N498" t="s">
        <v>78</v>
      </c>
      <c r="O498" t="s">
        <v>74</v>
      </c>
      <c r="P498" t="s">
        <v>74</v>
      </c>
      <c r="Q498" t="s">
        <v>74</v>
      </c>
      <c r="R498" t="s">
        <v>74</v>
      </c>
      <c r="S498" t="s">
        <v>74</v>
      </c>
      <c r="T498" t="s">
        <v>74</v>
      </c>
      <c r="U498" t="s">
        <v>7924</v>
      </c>
      <c r="V498" t="s">
        <v>7925</v>
      </c>
      <c r="W498" t="s">
        <v>7926</v>
      </c>
      <c r="X498" t="s">
        <v>7927</v>
      </c>
      <c r="Y498" t="s">
        <v>7928</v>
      </c>
      <c r="Z498" t="s">
        <v>7929</v>
      </c>
      <c r="AA498" t="s">
        <v>7930</v>
      </c>
      <c r="AB498" t="s">
        <v>7931</v>
      </c>
      <c r="AC498" t="s">
        <v>74</v>
      </c>
      <c r="AD498" t="s">
        <v>74</v>
      </c>
      <c r="AE498" t="s">
        <v>74</v>
      </c>
      <c r="AF498" t="s">
        <v>74</v>
      </c>
      <c r="AG498">
        <v>28</v>
      </c>
      <c r="AH498">
        <v>179</v>
      </c>
      <c r="AI498">
        <v>196</v>
      </c>
      <c r="AJ498">
        <v>2</v>
      </c>
      <c r="AK498">
        <v>42</v>
      </c>
      <c r="AL498" t="s">
        <v>6669</v>
      </c>
      <c r="AM498" t="s">
        <v>1055</v>
      </c>
      <c r="AN498" t="s">
        <v>6670</v>
      </c>
      <c r="AO498" t="s">
        <v>6671</v>
      </c>
      <c r="AP498" t="s">
        <v>6672</v>
      </c>
      <c r="AQ498" t="s">
        <v>74</v>
      </c>
      <c r="AR498" t="s">
        <v>6667</v>
      </c>
      <c r="AS498" t="s">
        <v>6673</v>
      </c>
      <c r="AT498" t="s">
        <v>7917</v>
      </c>
      <c r="AU498">
        <v>2005</v>
      </c>
      <c r="AV498">
        <v>438</v>
      </c>
      <c r="AW498">
        <v>7064</v>
      </c>
      <c r="AX498" t="s">
        <v>74</v>
      </c>
      <c r="AY498" t="s">
        <v>74</v>
      </c>
      <c r="AZ498" t="s">
        <v>74</v>
      </c>
      <c r="BA498" t="s">
        <v>74</v>
      </c>
      <c r="BB498">
        <v>74</v>
      </c>
      <c r="BC498">
        <v>77</v>
      </c>
      <c r="BD498" t="s">
        <v>74</v>
      </c>
      <c r="BE498" t="s">
        <v>7932</v>
      </c>
      <c r="BF498" t="str">
        <f>HYPERLINK("http://dx.doi.org/10.1038/nature04237","http://dx.doi.org/10.1038/nature04237")</f>
        <v>http://dx.doi.org/10.1038/nature04237</v>
      </c>
      <c r="BG498" t="s">
        <v>74</v>
      </c>
      <c r="BH498" t="s">
        <v>74</v>
      </c>
      <c r="BI498">
        <v>4</v>
      </c>
      <c r="BJ498" t="s">
        <v>3495</v>
      </c>
      <c r="BK498" t="s">
        <v>98</v>
      </c>
      <c r="BL498" t="s">
        <v>3496</v>
      </c>
      <c r="BM498" t="s">
        <v>7933</v>
      </c>
      <c r="BN498">
        <v>16267551</v>
      </c>
      <c r="BO498" t="s">
        <v>74</v>
      </c>
      <c r="BP498" t="s">
        <v>74</v>
      </c>
      <c r="BQ498" t="s">
        <v>74</v>
      </c>
      <c r="BR498" t="s">
        <v>101</v>
      </c>
      <c r="BS498" t="s">
        <v>7934</v>
      </c>
      <c r="BT498" t="str">
        <f>HYPERLINK("https%3A%2F%2Fwww.webofscience.com%2Fwos%2Fwoscc%2Ffull-record%2FWOS:000232979000043","View Full Record in Web of Science")</f>
        <v>View Full Record in Web of Science</v>
      </c>
    </row>
    <row r="499" spans="1:72" x14ac:dyDescent="0.15">
      <c r="A499" t="s">
        <v>72</v>
      </c>
      <c r="B499" t="s">
        <v>7935</v>
      </c>
      <c r="C499" t="s">
        <v>74</v>
      </c>
      <c r="D499" t="s">
        <v>74</v>
      </c>
      <c r="E499" t="s">
        <v>74</v>
      </c>
      <c r="F499" t="s">
        <v>7935</v>
      </c>
      <c r="G499" t="s">
        <v>74</v>
      </c>
      <c r="H499" t="s">
        <v>74</v>
      </c>
      <c r="I499" t="s">
        <v>7936</v>
      </c>
      <c r="J499" t="s">
        <v>7937</v>
      </c>
      <c r="K499" t="s">
        <v>74</v>
      </c>
      <c r="L499" t="s">
        <v>74</v>
      </c>
      <c r="M499" t="s">
        <v>77</v>
      </c>
      <c r="N499" t="s">
        <v>78</v>
      </c>
      <c r="O499" t="s">
        <v>74</v>
      </c>
      <c r="P499" t="s">
        <v>74</v>
      </c>
      <c r="Q499" t="s">
        <v>74</v>
      </c>
      <c r="R499" t="s">
        <v>74</v>
      </c>
      <c r="S499" t="s">
        <v>74</v>
      </c>
      <c r="T499" t="s">
        <v>74</v>
      </c>
      <c r="U499" t="s">
        <v>7938</v>
      </c>
      <c r="V499" t="s">
        <v>7939</v>
      </c>
      <c r="W499" t="s">
        <v>7940</v>
      </c>
      <c r="X499" t="s">
        <v>7941</v>
      </c>
      <c r="Y499" t="s">
        <v>7942</v>
      </c>
      <c r="Z499" t="s">
        <v>7943</v>
      </c>
      <c r="AA499" t="s">
        <v>7944</v>
      </c>
      <c r="AB499" t="s">
        <v>7945</v>
      </c>
      <c r="AC499" t="s">
        <v>74</v>
      </c>
      <c r="AD499" t="s">
        <v>74</v>
      </c>
      <c r="AE499" t="s">
        <v>74</v>
      </c>
      <c r="AF499" t="s">
        <v>74</v>
      </c>
      <c r="AG499">
        <v>12</v>
      </c>
      <c r="AH499">
        <v>12</v>
      </c>
      <c r="AI499">
        <v>14</v>
      </c>
      <c r="AJ499">
        <v>0</v>
      </c>
      <c r="AK499">
        <v>6</v>
      </c>
      <c r="AL499" t="s">
        <v>7946</v>
      </c>
      <c r="AM499" t="s">
        <v>7947</v>
      </c>
      <c r="AN499" t="s">
        <v>7948</v>
      </c>
      <c r="AO499" t="s">
        <v>7949</v>
      </c>
      <c r="AP499" t="s">
        <v>74</v>
      </c>
      <c r="AQ499" t="s">
        <v>74</v>
      </c>
      <c r="AR499" t="s">
        <v>7950</v>
      </c>
      <c r="AS499" t="s">
        <v>7951</v>
      </c>
      <c r="AT499" t="s">
        <v>7952</v>
      </c>
      <c r="AU499">
        <v>2005</v>
      </c>
      <c r="AV499">
        <v>95</v>
      </c>
      <c r="AW499" t="s">
        <v>5673</v>
      </c>
      <c r="AX499" t="s">
        <v>74</v>
      </c>
      <c r="AY499" t="s">
        <v>74</v>
      </c>
      <c r="AZ499" t="s">
        <v>74</v>
      </c>
      <c r="BA499" t="s">
        <v>74</v>
      </c>
      <c r="BB499">
        <v>867</v>
      </c>
      <c r="BC499">
        <v>876</v>
      </c>
      <c r="BD499" t="s">
        <v>74</v>
      </c>
      <c r="BE499" t="s">
        <v>7953</v>
      </c>
      <c r="BF499" t="str">
        <f>HYPERLINK("http://dx.doi.org/10.1002/adic.200590099","http://dx.doi.org/10.1002/adic.200590099")</f>
        <v>http://dx.doi.org/10.1002/adic.200590099</v>
      </c>
      <c r="BG499" t="s">
        <v>74</v>
      </c>
      <c r="BH499" t="s">
        <v>74</v>
      </c>
      <c r="BI499">
        <v>10</v>
      </c>
      <c r="BJ499" t="s">
        <v>1244</v>
      </c>
      <c r="BK499" t="s">
        <v>98</v>
      </c>
      <c r="BL499" t="s">
        <v>1245</v>
      </c>
      <c r="BM499" t="s">
        <v>7954</v>
      </c>
      <c r="BN499">
        <v>16398350</v>
      </c>
      <c r="BO499" t="s">
        <v>74</v>
      </c>
      <c r="BP499" t="s">
        <v>74</v>
      </c>
      <c r="BQ499" t="s">
        <v>74</v>
      </c>
      <c r="BR499" t="s">
        <v>101</v>
      </c>
      <c r="BS499" t="s">
        <v>7955</v>
      </c>
      <c r="BT499" t="str">
        <f>HYPERLINK("https%3A%2F%2Fwww.webofscience.com%2Fwos%2Fwoscc%2Ffull-record%2FWOS:000234850700013","View Full Record in Web of Science")</f>
        <v>View Full Record in Web of Science</v>
      </c>
    </row>
    <row r="500" spans="1:72" x14ac:dyDescent="0.15">
      <c r="A500" t="s">
        <v>72</v>
      </c>
      <c r="B500" t="s">
        <v>7956</v>
      </c>
      <c r="C500" t="s">
        <v>74</v>
      </c>
      <c r="D500" t="s">
        <v>74</v>
      </c>
      <c r="E500" t="s">
        <v>74</v>
      </c>
      <c r="F500" t="s">
        <v>7956</v>
      </c>
      <c r="G500" t="s">
        <v>74</v>
      </c>
      <c r="H500" t="s">
        <v>74</v>
      </c>
      <c r="I500" t="s">
        <v>7957</v>
      </c>
      <c r="J500" t="s">
        <v>7958</v>
      </c>
      <c r="K500" t="s">
        <v>74</v>
      </c>
      <c r="L500" t="s">
        <v>74</v>
      </c>
      <c r="M500" t="s">
        <v>77</v>
      </c>
      <c r="N500" t="s">
        <v>78</v>
      </c>
      <c r="O500" t="s">
        <v>74</v>
      </c>
      <c r="P500" t="s">
        <v>74</v>
      </c>
      <c r="Q500" t="s">
        <v>74</v>
      </c>
      <c r="R500" t="s">
        <v>74</v>
      </c>
      <c r="S500" t="s">
        <v>74</v>
      </c>
      <c r="T500" t="s">
        <v>7959</v>
      </c>
      <c r="U500" t="s">
        <v>7960</v>
      </c>
      <c r="V500" t="s">
        <v>7961</v>
      </c>
      <c r="W500" t="s">
        <v>7962</v>
      </c>
      <c r="X500" t="s">
        <v>7963</v>
      </c>
      <c r="Y500" t="s">
        <v>7964</v>
      </c>
      <c r="Z500" t="s">
        <v>7965</v>
      </c>
      <c r="AA500" t="s">
        <v>74</v>
      </c>
      <c r="AB500" t="s">
        <v>7966</v>
      </c>
      <c r="AC500" t="s">
        <v>74</v>
      </c>
      <c r="AD500" t="s">
        <v>74</v>
      </c>
      <c r="AE500" t="s">
        <v>74</v>
      </c>
      <c r="AF500" t="s">
        <v>74</v>
      </c>
      <c r="AG500">
        <v>57</v>
      </c>
      <c r="AH500">
        <v>66</v>
      </c>
      <c r="AI500">
        <v>78</v>
      </c>
      <c r="AJ500">
        <v>4</v>
      </c>
      <c r="AK500">
        <v>37</v>
      </c>
      <c r="AL500" t="s">
        <v>1891</v>
      </c>
      <c r="AM500" t="s">
        <v>140</v>
      </c>
      <c r="AN500" t="s">
        <v>1892</v>
      </c>
      <c r="AO500" t="s">
        <v>7967</v>
      </c>
      <c r="AP500" t="s">
        <v>7968</v>
      </c>
      <c r="AQ500" t="s">
        <v>74</v>
      </c>
      <c r="AR500" t="s">
        <v>7969</v>
      </c>
      <c r="AS500" t="s">
        <v>7970</v>
      </c>
      <c r="AT500" t="s">
        <v>7971</v>
      </c>
      <c r="AU500">
        <v>2005</v>
      </c>
      <c r="AV500">
        <v>96</v>
      </c>
      <c r="AW500">
        <v>6</v>
      </c>
      <c r="AX500" t="s">
        <v>74</v>
      </c>
      <c r="AY500" t="s">
        <v>74</v>
      </c>
      <c r="AZ500" t="s">
        <v>74</v>
      </c>
      <c r="BA500" t="s">
        <v>74</v>
      </c>
      <c r="BB500">
        <v>1109</v>
      </c>
      <c r="BC500">
        <v>1119</v>
      </c>
      <c r="BD500" t="s">
        <v>74</v>
      </c>
      <c r="BE500" t="s">
        <v>7972</v>
      </c>
      <c r="BF500" t="str">
        <f>HYPERLINK("http://dx.doi.org/10.1093/aob/mci262","http://dx.doi.org/10.1093/aob/mci262")</f>
        <v>http://dx.doi.org/10.1093/aob/mci262</v>
      </c>
      <c r="BG500" t="s">
        <v>74</v>
      </c>
      <c r="BH500" t="s">
        <v>74</v>
      </c>
      <c r="BI500">
        <v>11</v>
      </c>
      <c r="BJ500" t="s">
        <v>574</v>
      </c>
      <c r="BK500" t="s">
        <v>98</v>
      </c>
      <c r="BL500" t="s">
        <v>574</v>
      </c>
      <c r="BM500" t="s">
        <v>7973</v>
      </c>
      <c r="BN500">
        <v>16157630</v>
      </c>
      <c r="BO500" t="s">
        <v>5301</v>
      </c>
      <c r="BP500" t="s">
        <v>74</v>
      </c>
      <c r="BQ500" t="s">
        <v>74</v>
      </c>
      <c r="BR500" t="s">
        <v>101</v>
      </c>
      <c r="BS500" t="s">
        <v>7974</v>
      </c>
      <c r="BT500" t="str">
        <f>HYPERLINK("https%3A%2F%2Fwww.webofscience.com%2Fwos%2Fwoscc%2Ffull-record%2FWOS:000232746300014","View Full Record in Web of Science")</f>
        <v>View Full Record in Web of Science</v>
      </c>
    </row>
    <row r="501" spans="1:72" x14ac:dyDescent="0.15">
      <c r="A501" t="s">
        <v>72</v>
      </c>
      <c r="B501" t="s">
        <v>7975</v>
      </c>
      <c r="C501" t="s">
        <v>74</v>
      </c>
      <c r="D501" t="s">
        <v>74</v>
      </c>
      <c r="E501" t="s">
        <v>74</v>
      </c>
      <c r="F501" t="s">
        <v>7975</v>
      </c>
      <c r="G501" t="s">
        <v>74</v>
      </c>
      <c r="H501" t="s">
        <v>74</v>
      </c>
      <c r="I501" t="s">
        <v>7976</v>
      </c>
      <c r="J501" t="s">
        <v>5887</v>
      </c>
      <c r="K501" t="s">
        <v>74</v>
      </c>
      <c r="L501" t="s">
        <v>74</v>
      </c>
      <c r="M501" t="s">
        <v>77</v>
      </c>
      <c r="N501" t="s">
        <v>78</v>
      </c>
      <c r="O501" t="s">
        <v>74</v>
      </c>
      <c r="P501" t="s">
        <v>74</v>
      </c>
      <c r="Q501" t="s">
        <v>74</v>
      </c>
      <c r="R501" t="s">
        <v>74</v>
      </c>
      <c r="S501" t="s">
        <v>74</v>
      </c>
      <c r="T501" t="s">
        <v>74</v>
      </c>
      <c r="U501" t="s">
        <v>7977</v>
      </c>
      <c r="V501" t="s">
        <v>7978</v>
      </c>
      <c r="W501" t="s">
        <v>7979</v>
      </c>
      <c r="X501" t="s">
        <v>7980</v>
      </c>
      <c r="Y501" t="s">
        <v>7981</v>
      </c>
      <c r="Z501" t="s">
        <v>7982</v>
      </c>
      <c r="AA501" t="s">
        <v>7983</v>
      </c>
      <c r="AB501" t="s">
        <v>7984</v>
      </c>
      <c r="AC501" t="s">
        <v>74</v>
      </c>
      <c r="AD501" t="s">
        <v>74</v>
      </c>
      <c r="AE501" t="s">
        <v>74</v>
      </c>
      <c r="AF501" t="s">
        <v>74</v>
      </c>
      <c r="AG501">
        <v>25</v>
      </c>
      <c r="AH501">
        <v>24</v>
      </c>
      <c r="AI501">
        <v>29</v>
      </c>
      <c r="AJ501">
        <v>0</v>
      </c>
      <c r="AK501">
        <v>11</v>
      </c>
      <c r="AL501" t="s">
        <v>2540</v>
      </c>
      <c r="AM501" t="s">
        <v>2541</v>
      </c>
      <c r="AN501" t="s">
        <v>5896</v>
      </c>
      <c r="AO501" t="s">
        <v>5897</v>
      </c>
      <c r="AP501" t="s">
        <v>5898</v>
      </c>
      <c r="AQ501" t="s">
        <v>74</v>
      </c>
      <c r="AR501" t="s">
        <v>5899</v>
      </c>
      <c r="AS501" t="s">
        <v>5900</v>
      </c>
      <c r="AT501" t="s">
        <v>7971</v>
      </c>
      <c r="AU501">
        <v>2005</v>
      </c>
      <c r="AV501">
        <v>71</v>
      </c>
      <c r="AW501">
        <v>11</v>
      </c>
      <c r="AX501" t="s">
        <v>74</v>
      </c>
      <c r="AY501" t="s">
        <v>74</v>
      </c>
      <c r="AZ501" t="s">
        <v>74</v>
      </c>
      <c r="BA501" t="s">
        <v>74</v>
      </c>
      <c r="BB501">
        <v>6954</v>
      </c>
      <c r="BC501">
        <v>6962</v>
      </c>
      <c r="BD501" t="s">
        <v>74</v>
      </c>
      <c r="BE501" t="s">
        <v>7985</v>
      </c>
      <c r="BF501" t="str">
        <f>HYPERLINK("http://dx.doi.org/10.1128/AEM.71.11.6954-6962.2005","http://dx.doi.org/10.1128/AEM.71.11.6954-6962.2005")</f>
        <v>http://dx.doi.org/10.1128/AEM.71.11.6954-6962.2005</v>
      </c>
      <c r="BG501" t="s">
        <v>74</v>
      </c>
      <c r="BH501" t="s">
        <v>74</v>
      </c>
      <c r="BI501">
        <v>9</v>
      </c>
      <c r="BJ501" t="s">
        <v>5902</v>
      </c>
      <c r="BK501" t="s">
        <v>98</v>
      </c>
      <c r="BL501" t="s">
        <v>5902</v>
      </c>
      <c r="BM501" t="s">
        <v>7986</v>
      </c>
      <c r="BN501">
        <v>16269730</v>
      </c>
      <c r="BO501" t="s">
        <v>722</v>
      </c>
      <c r="BP501" t="s">
        <v>74</v>
      </c>
      <c r="BQ501" t="s">
        <v>74</v>
      </c>
      <c r="BR501" t="s">
        <v>101</v>
      </c>
      <c r="BS501" t="s">
        <v>7987</v>
      </c>
      <c r="BT501" t="str">
        <f>HYPERLINK("https%3A%2F%2Fwww.webofscience.com%2Fwos%2Fwoscc%2Ffull-record%2FWOS:000233225000061","View Full Record in Web of Science")</f>
        <v>View Full Record in Web of Science</v>
      </c>
    </row>
    <row r="502" spans="1:72" x14ac:dyDescent="0.15">
      <c r="A502" t="s">
        <v>72</v>
      </c>
      <c r="B502" t="s">
        <v>7988</v>
      </c>
      <c r="C502" t="s">
        <v>74</v>
      </c>
      <c r="D502" t="s">
        <v>74</v>
      </c>
      <c r="E502" t="s">
        <v>74</v>
      </c>
      <c r="F502" t="s">
        <v>7988</v>
      </c>
      <c r="G502" t="s">
        <v>74</v>
      </c>
      <c r="H502" t="s">
        <v>74</v>
      </c>
      <c r="I502" t="s">
        <v>7989</v>
      </c>
      <c r="J502" t="s">
        <v>7990</v>
      </c>
      <c r="K502" t="s">
        <v>74</v>
      </c>
      <c r="L502" t="s">
        <v>74</v>
      </c>
      <c r="M502" t="s">
        <v>77</v>
      </c>
      <c r="N502" t="s">
        <v>78</v>
      </c>
      <c r="O502" t="s">
        <v>74</v>
      </c>
      <c r="P502" t="s">
        <v>74</v>
      </c>
      <c r="Q502" t="s">
        <v>74</v>
      </c>
      <c r="R502" t="s">
        <v>74</v>
      </c>
      <c r="S502" t="s">
        <v>74</v>
      </c>
      <c r="T502" t="s">
        <v>74</v>
      </c>
      <c r="U502" t="s">
        <v>7991</v>
      </c>
      <c r="V502" t="s">
        <v>7992</v>
      </c>
      <c r="W502" t="s">
        <v>7993</v>
      </c>
      <c r="X502" t="s">
        <v>7994</v>
      </c>
      <c r="Y502" t="s">
        <v>7995</v>
      </c>
      <c r="Z502" t="s">
        <v>7996</v>
      </c>
      <c r="AA502" t="s">
        <v>7997</v>
      </c>
      <c r="AB502" t="s">
        <v>7998</v>
      </c>
      <c r="AC502" t="s">
        <v>74</v>
      </c>
      <c r="AD502" t="s">
        <v>74</v>
      </c>
      <c r="AE502" t="s">
        <v>74</v>
      </c>
      <c r="AF502" t="s">
        <v>74</v>
      </c>
      <c r="AG502">
        <v>37</v>
      </c>
      <c r="AH502">
        <v>33</v>
      </c>
      <c r="AI502">
        <v>33</v>
      </c>
      <c r="AJ502">
        <v>0</v>
      </c>
      <c r="AK502">
        <v>6</v>
      </c>
      <c r="AL502" t="s">
        <v>7999</v>
      </c>
      <c r="AM502" t="s">
        <v>605</v>
      </c>
      <c r="AN502" t="s">
        <v>8000</v>
      </c>
      <c r="AO502" t="s">
        <v>8001</v>
      </c>
      <c r="AP502" t="s">
        <v>8002</v>
      </c>
      <c r="AQ502" t="s">
        <v>74</v>
      </c>
      <c r="AR502" t="s">
        <v>8003</v>
      </c>
      <c r="AS502" t="s">
        <v>8004</v>
      </c>
      <c r="AT502" t="s">
        <v>7971</v>
      </c>
      <c r="AU502">
        <v>2005</v>
      </c>
      <c r="AV502">
        <v>37</v>
      </c>
      <c r="AW502">
        <v>4</v>
      </c>
      <c r="AX502" t="s">
        <v>74</v>
      </c>
      <c r="AY502" t="s">
        <v>74</v>
      </c>
      <c r="AZ502" t="s">
        <v>74</v>
      </c>
      <c r="BA502" t="s">
        <v>74</v>
      </c>
      <c r="BB502">
        <v>411</v>
      </c>
      <c r="BC502">
        <v>415</v>
      </c>
      <c r="BD502" t="s">
        <v>74</v>
      </c>
      <c r="BE502" t="s">
        <v>8005</v>
      </c>
      <c r="BF502" t="str">
        <f>HYPERLINK("http://dx.doi.org/10.1657/1523-0430(2005)037[0411:RGORSR]2.0.CO;2","http://dx.doi.org/10.1657/1523-0430(2005)037[0411:RGORSR]2.0.CO;2")</f>
        <v>http://dx.doi.org/10.1657/1523-0430(2005)037[0411:RGORSR]2.0.CO;2</v>
      </c>
      <c r="BG502" t="s">
        <v>74</v>
      </c>
      <c r="BH502" t="s">
        <v>74</v>
      </c>
      <c r="BI502">
        <v>5</v>
      </c>
      <c r="BJ502" t="s">
        <v>8006</v>
      </c>
      <c r="BK502" t="s">
        <v>98</v>
      </c>
      <c r="BL502" t="s">
        <v>8007</v>
      </c>
      <c r="BM502" t="s">
        <v>8008</v>
      </c>
      <c r="BN502" t="s">
        <v>74</v>
      </c>
      <c r="BO502" t="s">
        <v>5041</v>
      </c>
      <c r="BP502" t="s">
        <v>74</v>
      </c>
      <c r="BQ502" t="s">
        <v>74</v>
      </c>
      <c r="BR502" t="s">
        <v>101</v>
      </c>
      <c r="BS502" t="s">
        <v>8009</v>
      </c>
      <c r="BT502" t="str">
        <f>HYPERLINK("https%3A%2F%2Fwww.webofscience.com%2Fwos%2Fwoscc%2Ffull-record%2FWOS:000233757800001","View Full Record in Web of Science")</f>
        <v>View Full Record in Web of Science</v>
      </c>
    </row>
    <row r="503" spans="1:72" x14ac:dyDescent="0.15">
      <c r="A503" t="s">
        <v>72</v>
      </c>
      <c r="B503" t="s">
        <v>8010</v>
      </c>
      <c r="C503" t="s">
        <v>74</v>
      </c>
      <c r="D503" t="s">
        <v>74</v>
      </c>
      <c r="E503" t="s">
        <v>74</v>
      </c>
      <c r="F503" t="s">
        <v>8010</v>
      </c>
      <c r="G503" t="s">
        <v>74</v>
      </c>
      <c r="H503" t="s">
        <v>74</v>
      </c>
      <c r="I503" t="s">
        <v>8011</v>
      </c>
      <c r="J503" t="s">
        <v>7990</v>
      </c>
      <c r="K503" t="s">
        <v>74</v>
      </c>
      <c r="L503" t="s">
        <v>74</v>
      </c>
      <c r="M503" t="s">
        <v>77</v>
      </c>
      <c r="N503" t="s">
        <v>78</v>
      </c>
      <c r="O503" t="s">
        <v>74</v>
      </c>
      <c r="P503" t="s">
        <v>74</v>
      </c>
      <c r="Q503" t="s">
        <v>74</v>
      </c>
      <c r="R503" t="s">
        <v>74</v>
      </c>
      <c r="S503" t="s">
        <v>74</v>
      </c>
      <c r="T503" t="s">
        <v>74</v>
      </c>
      <c r="U503" t="s">
        <v>8012</v>
      </c>
      <c r="V503" t="s">
        <v>8013</v>
      </c>
      <c r="W503" t="s">
        <v>8014</v>
      </c>
      <c r="X503" t="s">
        <v>8015</v>
      </c>
      <c r="Y503" t="s">
        <v>8016</v>
      </c>
      <c r="Z503" t="s">
        <v>8017</v>
      </c>
      <c r="AA503" t="s">
        <v>8018</v>
      </c>
      <c r="AB503" t="s">
        <v>8019</v>
      </c>
      <c r="AC503" t="s">
        <v>74</v>
      </c>
      <c r="AD503" t="s">
        <v>74</v>
      </c>
      <c r="AE503" t="s">
        <v>74</v>
      </c>
      <c r="AF503" t="s">
        <v>74</v>
      </c>
      <c r="AG503">
        <v>32</v>
      </c>
      <c r="AH503">
        <v>15</v>
      </c>
      <c r="AI503">
        <v>23</v>
      </c>
      <c r="AJ503">
        <v>0</v>
      </c>
      <c r="AK503">
        <v>8</v>
      </c>
      <c r="AL503" t="s">
        <v>7999</v>
      </c>
      <c r="AM503" t="s">
        <v>605</v>
      </c>
      <c r="AN503" t="s">
        <v>8000</v>
      </c>
      <c r="AO503" t="s">
        <v>8001</v>
      </c>
      <c r="AP503" t="s">
        <v>8002</v>
      </c>
      <c r="AQ503" t="s">
        <v>74</v>
      </c>
      <c r="AR503" t="s">
        <v>8003</v>
      </c>
      <c r="AS503" t="s">
        <v>8004</v>
      </c>
      <c r="AT503" t="s">
        <v>7971</v>
      </c>
      <c r="AU503">
        <v>2005</v>
      </c>
      <c r="AV503">
        <v>37</v>
      </c>
      <c r="AW503">
        <v>4</v>
      </c>
      <c r="AX503" t="s">
        <v>74</v>
      </c>
      <c r="AY503" t="s">
        <v>74</v>
      </c>
      <c r="AZ503" t="s">
        <v>74</v>
      </c>
      <c r="BA503" t="s">
        <v>74</v>
      </c>
      <c r="BB503">
        <v>416</v>
      </c>
      <c r="BC503">
        <v>424</v>
      </c>
      <c r="BD503" t="s">
        <v>74</v>
      </c>
      <c r="BE503" t="s">
        <v>8020</v>
      </c>
      <c r="BF503" t="str">
        <f>HYPERLINK("http://dx.doi.org/10.1657/1523-0430(2005)037[0416:LPGGOT]2.0.CO;2","http://dx.doi.org/10.1657/1523-0430(2005)037[0416:LPGGOT]2.0.CO;2")</f>
        <v>http://dx.doi.org/10.1657/1523-0430(2005)037[0416:LPGGOT]2.0.CO;2</v>
      </c>
      <c r="BG503" t="s">
        <v>74</v>
      </c>
      <c r="BH503" t="s">
        <v>74</v>
      </c>
      <c r="BI503">
        <v>9</v>
      </c>
      <c r="BJ503" t="s">
        <v>8006</v>
      </c>
      <c r="BK503" t="s">
        <v>98</v>
      </c>
      <c r="BL503" t="s">
        <v>8007</v>
      </c>
      <c r="BM503" t="s">
        <v>8008</v>
      </c>
      <c r="BN503" t="s">
        <v>74</v>
      </c>
      <c r="BO503" t="s">
        <v>534</v>
      </c>
      <c r="BP503" t="s">
        <v>74</v>
      </c>
      <c r="BQ503" t="s">
        <v>74</v>
      </c>
      <c r="BR503" t="s">
        <v>101</v>
      </c>
      <c r="BS503" t="s">
        <v>8021</v>
      </c>
      <c r="BT503" t="str">
        <f>HYPERLINK("https%3A%2F%2Fwww.webofscience.com%2Fwos%2Fwoscc%2Ffull-record%2FWOS:000233757800002","View Full Record in Web of Science")</f>
        <v>View Full Record in Web of Science</v>
      </c>
    </row>
    <row r="504" spans="1:72" x14ac:dyDescent="0.15">
      <c r="A504" t="s">
        <v>72</v>
      </c>
      <c r="B504" t="s">
        <v>8022</v>
      </c>
      <c r="C504" t="s">
        <v>74</v>
      </c>
      <c r="D504" t="s">
        <v>74</v>
      </c>
      <c r="E504" t="s">
        <v>74</v>
      </c>
      <c r="F504" t="s">
        <v>8022</v>
      </c>
      <c r="G504" t="s">
        <v>74</v>
      </c>
      <c r="H504" t="s">
        <v>74</v>
      </c>
      <c r="I504" t="s">
        <v>8023</v>
      </c>
      <c r="J504" t="s">
        <v>7990</v>
      </c>
      <c r="K504" t="s">
        <v>74</v>
      </c>
      <c r="L504" t="s">
        <v>74</v>
      </c>
      <c r="M504" t="s">
        <v>77</v>
      </c>
      <c r="N504" t="s">
        <v>78</v>
      </c>
      <c r="O504" t="s">
        <v>74</v>
      </c>
      <c r="P504" t="s">
        <v>74</v>
      </c>
      <c r="Q504" t="s">
        <v>74</v>
      </c>
      <c r="R504" t="s">
        <v>74</v>
      </c>
      <c r="S504" t="s">
        <v>74</v>
      </c>
      <c r="T504" t="s">
        <v>74</v>
      </c>
      <c r="U504" t="s">
        <v>8024</v>
      </c>
      <c r="V504" t="s">
        <v>8025</v>
      </c>
      <c r="W504" t="s">
        <v>8026</v>
      </c>
      <c r="X504" t="s">
        <v>74</v>
      </c>
      <c r="Y504" t="s">
        <v>8027</v>
      </c>
      <c r="Z504" t="s">
        <v>8028</v>
      </c>
      <c r="AA504" t="s">
        <v>74</v>
      </c>
      <c r="AB504" t="s">
        <v>74</v>
      </c>
      <c r="AC504" t="s">
        <v>74</v>
      </c>
      <c r="AD504" t="s">
        <v>74</v>
      </c>
      <c r="AE504" t="s">
        <v>74</v>
      </c>
      <c r="AF504" t="s">
        <v>74</v>
      </c>
      <c r="AG504">
        <v>51</v>
      </c>
      <c r="AH504">
        <v>28</v>
      </c>
      <c r="AI504">
        <v>35</v>
      </c>
      <c r="AJ504">
        <v>1</v>
      </c>
      <c r="AK504">
        <v>13</v>
      </c>
      <c r="AL504" t="s">
        <v>7999</v>
      </c>
      <c r="AM504" t="s">
        <v>605</v>
      </c>
      <c r="AN504" t="s">
        <v>8000</v>
      </c>
      <c r="AO504" t="s">
        <v>8001</v>
      </c>
      <c r="AP504" t="s">
        <v>8002</v>
      </c>
      <c r="AQ504" t="s">
        <v>74</v>
      </c>
      <c r="AR504" t="s">
        <v>8003</v>
      </c>
      <c r="AS504" t="s">
        <v>8004</v>
      </c>
      <c r="AT504" t="s">
        <v>7971</v>
      </c>
      <c r="AU504">
        <v>2005</v>
      </c>
      <c r="AV504">
        <v>37</v>
      </c>
      <c r="AW504">
        <v>4</v>
      </c>
      <c r="AX504" t="s">
        <v>74</v>
      </c>
      <c r="AY504" t="s">
        <v>74</v>
      </c>
      <c r="AZ504" t="s">
        <v>74</v>
      </c>
      <c r="BA504" t="s">
        <v>74</v>
      </c>
      <c r="BB504">
        <v>425</v>
      </c>
      <c r="BC504">
        <v>434</v>
      </c>
      <c r="BD504" t="s">
        <v>74</v>
      </c>
      <c r="BE504" t="s">
        <v>8029</v>
      </c>
      <c r="BF504" t="str">
        <f>HYPERLINK("http://dx.doi.org/10.1657/1523-0430(2005)037[0425:TGDAAC]2.0.CO;2","http://dx.doi.org/10.1657/1523-0430(2005)037[0425:TGDAAC]2.0.CO;2")</f>
        <v>http://dx.doi.org/10.1657/1523-0430(2005)037[0425:TGDAAC]2.0.CO;2</v>
      </c>
      <c r="BG504" t="s">
        <v>74</v>
      </c>
      <c r="BH504" t="s">
        <v>74</v>
      </c>
      <c r="BI504">
        <v>10</v>
      </c>
      <c r="BJ504" t="s">
        <v>8006</v>
      </c>
      <c r="BK504" t="s">
        <v>98</v>
      </c>
      <c r="BL504" t="s">
        <v>8007</v>
      </c>
      <c r="BM504" t="s">
        <v>8008</v>
      </c>
      <c r="BN504" t="s">
        <v>74</v>
      </c>
      <c r="BO504" t="s">
        <v>534</v>
      </c>
      <c r="BP504" t="s">
        <v>74</v>
      </c>
      <c r="BQ504" t="s">
        <v>74</v>
      </c>
      <c r="BR504" t="s">
        <v>101</v>
      </c>
      <c r="BS504" t="s">
        <v>8030</v>
      </c>
      <c r="BT504" t="str">
        <f>HYPERLINK("https%3A%2F%2Fwww.webofscience.com%2Fwos%2Fwoscc%2Ffull-record%2FWOS:000233757800003","View Full Record in Web of Science")</f>
        <v>View Full Record in Web of Science</v>
      </c>
    </row>
    <row r="505" spans="1:72" x14ac:dyDescent="0.15">
      <c r="A505" t="s">
        <v>72</v>
      </c>
      <c r="B505" t="s">
        <v>8031</v>
      </c>
      <c r="C505" t="s">
        <v>74</v>
      </c>
      <c r="D505" t="s">
        <v>74</v>
      </c>
      <c r="E505" t="s">
        <v>74</v>
      </c>
      <c r="F505" t="s">
        <v>8031</v>
      </c>
      <c r="G505" t="s">
        <v>74</v>
      </c>
      <c r="H505" t="s">
        <v>74</v>
      </c>
      <c r="I505" t="s">
        <v>8032</v>
      </c>
      <c r="J505" t="s">
        <v>7990</v>
      </c>
      <c r="K505" t="s">
        <v>74</v>
      </c>
      <c r="L505" t="s">
        <v>74</v>
      </c>
      <c r="M505" t="s">
        <v>77</v>
      </c>
      <c r="N505" t="s">
        <v>78</v>
      </c>
      <c r="O505" t="s">
        <v>74</v>
      </c>
      <c r="P505" t="s">
        <v>74</v>
      </c>
      <c r="Q505" t="s">
        <v>74</v>
      </c>
      <c r="R505" t="s">
        <v>74</v>
      </c>
      <c r="S505" t="s">
        <v>74</v>
      </c>
      <c r="T505" t="s">
        <v>74</v>
      </c>
      <c r="U505" t="s">
        <v>8033</v>
      </c>
      <c r="V505" t="s">
        <v>8034</v>
      </c>
      <c r="W505" t="s">
        <v>8035</v>
      </c>
      <c r="X505" t="s">
        <v>8036</v>
      </c>
      <c r="Y505" t="s">
        <v>8037</v>
      </c>
      <c r="Z505" t="s">
        <v>8038</v>
      </c>
      <c r="AA505" t="s">
        <v>8039</v>
      </c>
      <c r="AB505" t="s">
        <v>8040</v>
      </c>
      <c r="AC505" t="s">
        <v>74</v>
      </c>
      <c r="AD505" t="s">
        <v>74</v>
      </c>
      <c r="AE505" t="s">
        <v>74</v>
      </c>
      <c r="AF505" t="s">
        <v>74</v>
      </c>
      <c r="AG505">
        <v>76</v>
      </c>
      <c r="AH505">
        <v>35</v>
      </c>
      <c r="AI505">
        <v>42</v>
      </c>
      <c r="AJ505">
        <v>1</v>
      </c>
      <c r="AK505">
        <v>48</v>
      </c>
      <c r="AL505" t="s">
        <v>7999</v>
      </c>
      <c r="AM505" t="s">
        <v>605</v>
      </c>
      <c r="AN505" t="s">
        <v>8000</v>
      </c>
      <c r="AO505" t="s">
        <v>8001</v>
      </c>
      <c r="AP505" t="s">
        <v>74</v>
      </c>
      <c r="AQ505" t="s">
        <v>74</v>
      </c>
      <c r="AR505" t="s">
        <v>8003</v>
      </c>
      <c r="AS505" t="s">
        <v>8004</v>
      </c>
      <c r="AT505" t="s">
        <v>7971</v>
      </c>
      <c r="AU505">
        <v>2005</v>
      </c>
      <c r="AV505">
        <v>37</v>
      </c>
      <c r="AW505">
        <v>4</v>
      </c>
      <c r="AX505" t="s">
        <v>74</v>
      </c>
      <c r="AY505" t="s">
        <v>74</v>
      </c>
      <c r="AZ505" t="s">
        <v>74</v>
      </c>
      <c r="BA505" t="s">
        <v>74</v>
      </c>
      <c r="BB505">
        <v>435</v>
      </c>
      <c r="BC505">
        <v>443</v>
      </c>
      <c r="BD505" t="s">
        <v>74</v>
      </c>
      <c r="BE505" t="s">
        <v>8041</v>
      </c>
      <c r="BF505" t="str">
        <f>HYPERLINK("http://dx.doi.org/10.1657/1523-0430(2005)037[0435:MAPCON]2.0.CO;2","http://dx.doi.org/10.1657/1523-0430(2005)037[0435:MAPCON]2.0.CO;2")</f>
        <v>http://dx.doi.org/10.1657/1523-0430(2005)037[0435:MAPCON]2.0.CO;2</v>
      </c>
      <c r="BG505" t="s">
        <v>74</v>
      </c>
      <c r="BH505" t="s">
        <v>74</v>
      </c>
      <c r="BI505">
        <v>9</v>
      </c>
      <c r="BJ505" t="s">
        <v>8006</v>
      </c>
      <c r="BK505" t="s">
        <v>98</v>
      </c>
      <c r="BL505" t="s">
        <v>8007</v>
      </c>
      <c r="BM505" t="s">
        <v>8008</v>
      </c>
      <c r="BN505" t="s">
        <v>74</v>
      </c>
      <c r="BO505" t="s">
        <v>534</v>
      </c>
      <c r="BP505" t="s">
        <v>74</v>
      </c>
      <c r="BQ505" t="s">
        <v>74</v>
      </c>
      <c r="BR505" t="s">
        <v>101</v>
      </c>
      <c r="BS505" t="s">
        <v>8042</v>
      </c>
      <c r="BT505" t="str">
        <f>HYPERLINK("https%3A%2F%2Fwww.webofscience.com%2Fwos%2Fwoscc%2Ffull-record%2FWOS:000233757800004","View Full Record in Web of Science")</f>
        <v>View Full Record in Web of Science</v>
      </c>
    </row>
    <row r="506" spans="1:72" x14ac:dyDescent="0.15">
      <c r="A506" t="s">
        <v>72</v>
      </c>
      <c r="B506" t="s">
        <v>8043</v>
      </c>
      <c r="C506" t="s">
        <v>74</v>
      </c>
      <c r="D506" t="s">
        <v>74</v>
      </c>
      <c r="E506" t="s">
        <v>74</v>
      </c>
      <c r="F506" t="s">
        <v>8043</v>
      </c>
      <c r="G506" t="s">
        <v>74</v>
      </c>
      <c r="H506" t="s">
        <v>74</v>
      </c>
      <c r="I506" t="s">
        <v>8044</v>
      </c>
      <c r="J506" t="s">
        <v>7990</v>
      </c>
      <c r="K506" t="s">
        <v>74</v>
      </c>
      <c r="L506" t="s">
        <v>74</v>
      </c>
      <c r="M506" t="s">
        <v>77</v>
      </c>
      <c r="N506" t="s">
        <v>78</v>
      </c>
      <c r="O506" t="s">
        <v>74</v>
      </c>
      <c r="P506" t="s">
        <v>74</v>
      </c>
      <c r="Q506" t="s">
        <v>74</v>
      </c>
      <c r="R506" t="s">
        <v>74</v>
      </c>
      <c r="S506" t="s">
        <v>74</v>
      </c>
      <c r="T506" t="s">
        <v>74</v>
      </c>
      <c r="U506" t="s">
        <v>8045</v>
      </c>
      <c r="V506" t="s">
        <v>8046</v>
      </c>
      <c r="W506" t="s">
        <v>8047</v>
      </c>
      <c r="X506" t="s">
        <v>8048</v>
      </c>
      <c r="Y506" t="s">
        <v>8049</v>
      </c>
      <c r="Z506" t="s">
        <v>8050</v>
      </c>
      <c r="AA506" t="s">
        <v>8051</v>
      </c>
      <c r="AB506" t="s">
        <v>8052</v>
      </c>
      <c r="AC506" t="s">
        <v>74</v>
      </c>
      <c r="AD506" t="s">
        <v>74</v>
      </c>
      <c r="AE506" t="s">
        <v>74</v>
      </c>
      <c r="AF506" t="s">
        <v>74</v>
      </c>
      <c r="AG506">
        <v>77</v>
      </c>
      <c r="AH506">
        <v>121</v>
      </c>
      <c r="AI506">
        <v>130</v>
      </c>
      <c r="AJ506">
        <v>1</v>
      </c>
      <c r="AK506">
        <v>86</v>
      </c>
      <c r="AL506" t="s">
        <v>348</v>
      </c>
      <c r="AM506" t="s">
        <v>349</v>
      </c>
      <c r="AN506" t="s">
        <v>1523</v>
      </c>
      <c r="AO506" t="s">
        <v>8001</v>
      </c>
      <c r="AP506" t="s">
        <v>8002</v>
      </c>
      <c r="AQ506" t="s">
        <v>74</v>
      </c>
      <c r="AR506" t="s">
        <v>8003</v>
      </c>
      <c r="AS506" t="s">
        <v>8004</v>
      </c>
      <c r="AT506" t="s">
        <v>7971</v>
      </c>
      <c r="AU506">
        <v>2005</v>
      </c>
      <c r="AV506">
        <v>37</v>
      </c>
      <c r="AW506">
        <v>4</v>
      </c>
      <c r="AX506" t="s">
        <v>74</v>
      </c>
      <c r="AY506" t="s">
        <v>74</v>
      </c>
      <c r="AZ506" t="s">
        <v>74</v>
      </c>
      <c r="BA506" t="s">
        <v>74</v>
      </c>
      <c r="BB506">
        <v>444</v>
      </c>
      <c r="BC506">
        <v>453</v>
      </c>
      <c r="BD506" t="s">
        <v>74</v>
      </c>
      <c r="BE506" t="s">
        <v>8053</v>
      </c>
      <c r="BF506" t="str">
        <f>HYPERLINK("http://dx.doi.org/10.1657/1523-0430(2005)037[0444:CSIAPT]2.0.CO;2","http://dx.doi.org/10.1657/1523-0430(2005)037[0444:CSIAPT]2.0.CO;2")</f>
        <v>http://dx.doi.org/10.1657/1523-0430(2005)037[0444:CSIAPT]2.0.CO;2</v>
      </c>
      <c r="BG506" t="s">
        <v>74</v>
      </c>
      <c r="BH506" t="s">
        <v>74</v>
      </c>
      <c r="BI506">
        <v>10</v>
      </c>
      <c r="BJ506" t="s">
        <v>8006</v>
      </c>
      <c r="BK506" t="s">
        <v>98</v>
      </c>
      <c r="BL506" t="s">
        <v>8007</v>
      </c>
      <c r="BM506" t="s">
        <v>8008</v>
      </c>
      <c r="BN506" t="s">
        <v>74</v>
      </c>
      <c r="BO506" t="s">
        <v>2276</v>
      </c>
      <c r="BP506" t="s">
        <v>74</v>
      </c>
      <c r="BQ506" t="s">
        <v>74</v>
      </c>
      <c r="BR506" t="s">
        <v>101</v>
      </c>
      <c r="BS506" t="s">
        <v>8054</v>
      </c>
      <c r="BT506" t="str">
        <f>HYPERLINK("https%3A%2F%2Fwww.webofscience.com%2Fwos%2Fwoscc%2Ffull-record%2FWOS:000233757800005","View Full Record in Web of Science")</f>
        <v>View Full Record in Web of Science</v>
      </c>
    </row>
    <row r="507" spans="1:72" x14ac:dyDescent="0.15">
      <c r="A507" t="s">
        <v>72</v>
      </c>
      <c r="B507" t="s">
        <v>8055</v>
      </c>
      <c r="C507" t="s">
        <v>74</v>
      </c>
      <c r="D507" t="s">
        <v>74</v>
      </c>
      <c r="E507" t="s">
        <v>74</v>
      </c>
      <c r="F507" t="s">
        <v>8055</v>
      </c>
      <c r="G507" t="s">
        <v>74</v>
      </c>
      <c r="H507" t="s">
        <v>74</v>
      </c>
      <c r="I507" t="s">
        <v>8056</v>
      </c>
      <c r="J507" t="s">
        <v>7990</v>
      </c>
      <c r="K507" t="s">
        <v>74</v>
      </c>
      <c r="L507" t="s">
        <v>74</v>
      </c>
      <c r="M507" t="s">
        <v>77</v>
      </c>
      <c r="N507" t="s">
        <v>78</v>
      </c>
      <c r="O507" t="s">
        <v>74</v>
      </c>
      <c r="P507" t="s">
        <v>74</v>
      </c>
      <c r="Q507" t="s">
        <v>74</v>
      </c>
      <c r="R507" t="s">
        <v>74</v>
      </c>
      <c r="S507" t="s">
        <v>74</v>
      </c>
      <c r="T507" t="s">
        <v>74</v>
      </c>
      <c r="U507" t="s">
        <v>8057</v>
      </c>
      <c r="V507" t="s">
        <v>8058</v>
      </c>
      <c r="W507" t="s">
        <v>8059</v>
      </c>
      <c r="X507" t="s">
        <v>8060</v>
      </c>
      <c r="Y507" t="s">
        <v>8061</v>
      </c>
      <c r="Z507" t="s">
        <v>8062</v>
      </c>
      <c r="AA507" t="s">
        <v>74</v>
      </c>
      <c r="AB507" t="s">
        <v>74</v>
      </c>
      <c r="AC507" t="s">
        <v>74</v>
      </c>
      <c r="AD507" t="s">
        <v>74</v>
      </c>
      <c r="AE507" t="s">
        <v>74</v>
      </c>
      <c r="AF507" t="s">
        <v>74</v>
      </c>
      <c r="AG507">
        <v>83</v>
      </c>
      <c r="AH507">
        <v>7</v>
      </c>
      <c r="AI507">
        <v>7</v>
      </c>
      <c r="AJ507">
        <v>0</v>
      </c>
      <c r="AK507">
        <v>5</v>
      </c>
      <c r="AL507" t="s">
        <v>7999</v>
      </c>
      <c r="AM507" t="s">
        <v>605</v>
      </c>
      <c r="AN507" t="s">
        <v>8000</v>
      </c>
      <c r="AO507" t="s">
        <v>8001</v>
      </c>
      <c r="AP507" t="s">
        <v>8002</v>
      </c>
      <c r="AQ507" t="s">
        <v>74</v>
      </c>
      <c r="AR507" t="s">
        <v>8003</v>
      </c>
      <c r="AS507" t="s">
        <v>8004</v>
      </c>
      <c r="AT507" t="s">
        <v>7971</v>
      </c>
      <c r="AU507">
        <v>2005</v>
      </c>
      <c r="AV507">
        <v>37</v>
      </c>
      <c r="AW507">
        <v>4</v>
      </c>
      <c r="AX507" t="s">
        <v>74</v>
      </c>
      <c r="AY507" t="s">
        <v>74</v>
      </c>
      <c r="AZ507" t="s">
        <v>74</v>
      </c>
      <c r="BA507" t="s">
        <v>74</v>
      </c>
      <c r="BB507">
        <v>454</v>
      </c>
      <c r="BC507">
        <v>464</v>
      </c>
      <c r="BD507" t="s">
        <v>74</v>
      </c>
      <c r="BE507" t="s">
        <v>8063</v>
      </c>
      <c r="BF507" t="str">
        <f>HYPERLINK("http://dx.doi.org/10.1657/1523-0430(2005)037[0454:COHFAW]2.0.CO;2","http://dx.doi.org/10.1657/1523-0430(2005)037[0454:COHFAW]2.0.CO;2")</f>
        <v>http://dx.doi.org/10.1657/1523-0430(2005)037[0454:COHFAW]2.0.CO;2</v>
      </c>
      <c r="BG507" t="s">
        <v>74</v>
      </c>
      <c r="BH507" t="s">
        <v>74</v>
      </c>
      <c r="BI507">
        <v>11</v>
      </c>
      <c r="BJ507" t="s">
        <v>8006</v>
      </c>
      <c r="BK507" t="s">
        <v>98</v>
      </c>
      <c r="BL507" t="s">
        <v>8007</v>
      </c>
      <c r="BM507" t="s">
        <v>8008</v>
      </c>
      <c r="BN507" t="s">
        <v>74</v>
      </c>
      <c r="BO507" t="s">
        <v>2248</v>
      </c>
      <c r="BP507" t="s">
        <v>74</v>
      </c>
      <c r="BQ507" t="s">
        <v>74</v>
      </c>
      <c r="BR507" t="s">
        <v>101</v>
      </c>
      <c r="BS507" t="s">
        <v>8064</v>
      </c>
      <c r="BT507" t="str">
        <f>HYPERLINK("https%3A%2F%2Fwww.webofscience.com%2Fwos%2Fwoscc%2Ffull-record%2FWOS:000233757800006","View Full Record in Web of Science")</f>
        <v>View Full Record in Web of Science</v>
      </c>
    </row>
    <row r="508" spans="1:72" x14ac:dyDescent="0.15">
      <c r="A508" t="s">
        <v>72</v>
      </c>
      <c r="B508" t="s">
        <v>8065</v>
      </c>
      <c r="C508" t="s">
        <v>74</v>
      </c>
      <c r="D508" t="s">
        <v>74</v>
      </c>
      <c r="E508" t="s">
        <v>74</v>
      </c>
      <c r="F508" t="s">
        <v>8065</v>
      </c>
      <c r="G508" t="s">
        <v>74</v>
      </c>
      <c r="H508" t="s">
        <v>74</v>
      </c>
      <c r="I508" t="s">
        <v>8066</v>
      </c>
      <c r="J508" t="s">
        <v>7990</v>
      </c>
      <c r="K508" t="s">
        <v>74</v>
      </c>
      <c r="L508" t="s">
        <v>74</v>
      </c>
      <c r="M508" t="s">
        <v>77</v>
      </c>
      <c r="N508" t="s">
        <v>78</v>
      </c>
      <c r="O508" t="s">
        <v>74</v>
      </c>
      <c r="P508" t="s">
        <v>74</v>
      </c>
      <c r="Q508" t="s">
        <v>74</v>
      </c>
      <c r="R508" t="s">
        <v>74</v>
      </c>
      <c r="S508" t="s">
        <v>74</v>
      </c>
      <c r="T508" t="s">
        <v>74</v>
      </c>
      <c r="U508" t="s">
        <v>8067</v>
      </c>
      <c r="V508" t="s">
        <v>8068</v>
      </c>
      <c r="W508" t="s">
        <v>8069</v>
      </c>
      <c r="X508" t="s">
        <v>8070</v>
      </c>
      <c r="Y508" t="s">
        <v>8071</v>
      </c>
      <c r="Z508" t="s">
        <v>8072</v>
      </c>
      <c r="AA508" t="s">
        <v>74</v>
      </c>
      <c r="AB508" t="s">
        <v>74</v>
      </c>
      <c r="AC508" t="s">
        <v>74</v>
      </c>
      <c r="AD508" t="s">
        <v>74</v>
      </c>
      <c r="AE508" t="s">
        <v>74</v>
      </c>
      <c r="AF508" t="s">
        <v>74</v>
      </c>
      <c r="AG508">
        <v>49</v>
      </c>
      <c r="AH508">
        <v>23</v>
      </c>
      <c r="AI508">
        <v>24</v>
      </c>
      <c r="AJ508">
        <v>0</v>
      </c>
      <c r="AK508">
        <v>14</v>
      </c>
      <c r="AL508" t="s">
        <v>7999</v>
      </c>
      <c r="AM508" t="s">
        <v>605</v>
      </c>
      <c r="AN508" t="s">
        <v>8000</v>
      </c>
      <c r="AO508" t="s">
        <v>8001</v>
      </c>
      <c r="AP508" t="s">
        <v>74</v>
      </c>
      <c r="AQ508" t="s">
        <v>74</v>
      </c>
      <c r="AR508" t="s">
        <v>8003</v>
      </c>
      <c r="AS508" t="s">
        <v>8004</v>
      </c>
      <c r="AT508" t="s">
        <v>7971</v>
      </c>
      <c r="AU508">
        <v>2005</v>
      </c>
      <c r="AV508">
        <v>37</v>
      </c>
      <c r="AW508">
        <v>4</v>
      </c>
      <c r="AX508" t="s">
        <v>74</v>
      </c>
      <c r="AY508" t="s">
        <v>74</v>
      </c>
      <c r="AZ508" t="s">
        <v>74</v>
      </c>
      <c r="BA508" t="s">
        <v>74</v>
      </c>
      <c r="BB508">
        <v>465</v>
      </c>
      <c r="BC508">
        <v>476</v>
      </c>
      <c r="BD508" t="s">
        <v>74</v>
      </c>
      <c r="BE508" t="s">
        <v>8073</v>
      </c>
      <c r="BF508" t="str">
        <f>HYPERLINK("http://dx.doi.org/10.1657/1523-0430(2005)037[0465:SOSRIT]2.0.CO;2","http://dx.doi.org/10.1657/1523-0430(2005)037[0465:SOSRIT]2.0.CO;2")</f>
        <v>http://dx.doi.org/10.1657/1523-0430(2005)037[0465:SOSRIT]2.0.CO;2</v>
      </c>
      <c r="BG508" t="s">
        <v>74</v>
      </c>
      <c r="BH508" t="s">
        <v>74</v>
      </c>
      <c r="BI508">
        <v>12</v>
      </c>
      <c r="BJ508" t="s">
        <v>8006</v>
      </c>
      <c r="BK508" t="s">
        <v>98</v>
      </c>
      <c r="BL508" t="s">
        <v>8007</v>
      </c>
      <c r="BM508" t="s">
        <v>8008</v>
      </c>
      <c r="BN508" t="s">
        <v>74</v>
      </c>
      <c r="BO508" t="s">
        <v>534</v>
      </c>
      <c r="BP508" t="s">
        <v>74</v>
      </c>
      <c r="BQ508" t="s">
        <v>74</v>
      </c>
      <c r="BR508" t="s">
        <v>101</v>
      </c>
      <c r="BS508" t="s">
        <v>8074</v>
      </c>
      <c r="BT508" t="str">
        <f>HYPERLINK("https%3A%2F%2Fwww.webofscience.com%2Fwos%2Fwoscc%2Ffull-record%2FWOS:000233757800007","View Full Record in Web of Science")</f>
        <v>View Full Record in Web of Science</v>
      </c>
    </row>
    <row r="509" spans="1:72" x14ac:dyDescent="0.15">
      <c r="A509" t="s">
        <v>72</v>
      </c>
      <c r="B509" t="s">
        <v>8075</v>
      </c>
      <c r="C509" t="s">
        <v>74</v>
      </c>
      <c r="D509" t="s">
        <v>74</v>
      </c>
      <c r="E509" t="s">
        <v>74</v>
      </c>
      <c r="F509" t="s">
        <v>8075</v>
      </c>
      <c r="G509" t="s">
        <v>74</v>
      </c>
      <c r="H509" t="s">
        <v>74</v>
      </c>
      <c r="I509" t="s">
        <v>8076</v>
      </c>
      <c r="J509" t="s">
        <v>7990</v>
      </c>
      <c r="K509" t="s">
        <v>74</v>
      </c>
      <c r="L509" t="s">
        <v>74</v>
      </c>
      <c r="M509" t="s">
        <v>77</v>
      </c>
      <c r="N509" t="s">
        <v>78</v>
      </c>
      <c r="O509" t="s">
        <v>74</v>
      </c>
      <c r="P509" t="s">
        <v>74</v>
      </c>
      <c r="Q509" t="s">
        <v>74</v>
      </c>
      <c r="R509" t="s">
        <v>74</v>
      </c>
      <c r="S509" t="s">
        <v>74</v>
      </c>
      <c r="T509" t="s">
        <v>74</v>
      </c>
      <c r="U509" t="s">
        <v>8077</v>
      </c>
      <c r="V509" t="s">
        <v>8078</v>
      </c>
      <c r="W509" t="s">
        <v>8079</v>
      </c>
      <c r="X509" t="s">
        <v>8080</v>
      </c>
      <c r="Y509" t="s">
        <v>8081</v>
      </c>
      <c r="Z509" t="s">
        <v>8082</v>
      </c>
      <c r="AA509" t="s">
        <v>8083</v>
      </c>
      <c r="AB509" t="s">
        <v>8084</v>
      </c>
      <c r="AC509" t="s">
        <v>74</v>
      </c>
      <c r="AD509" t="s">
        <v>74</v>
      </c>
      <c r="AE509" t="s">
        <v>74</v>
      </c>
      <c r="AF509" t="s">
        <v>74</v>
      </c>
      <c r="AG509">
        <v>31</v>
      </c>
      <c r="AH509">
        <v>35</v>
      </c>
      <c r="AI509">
        <v>41</v>
      </c>
      <c r="AJ509">
        <v>1</v>
      </c>
      <c r="AK509">
        <v>8</v>
      </c>
      <c r="AL509" t="s">
        <v>348</v>
      </c>
      <c r="AM509" t="s">
        <v>349</v>
      </c>
      <c r="AN509" t="s">
        <v>1523</v>
      </c>
      <c r="AO509" t="s">
        <v>8001</v>
      </c>
      <c r="AP509" t="s">
        <v>8002</v>
      </c>
      <c r="AQ509" t="s">
        <v>74</v>
      </c>
      <c r="AR509" t="s">
        <v>8003</v>
      </c>
      <c r="AS509" t="s">
        <v>8004</v>
      </c>
      <c r="AT509" t="s">
        <v>7971</v>
      </c>
      <c r="AU509">
        <v>2005</v>
      </c>
      <c r="AV509">
        <v>37</v>
      </c>
      <c r="AW509">
        <v>4</v>
      </c>
      <c r="AX509" t="s">
        <v>74</v>
      </c>
      <c r="AY509" t="s">
        <v>74</v>
      </c>
      <c r="AZ509" t="s">
        <v>74</v>
      </c>
      <c r="BA509" t="s">
        <v>74</v>
      </c>
      <c r="BB509">
        <v>477</v>
      </c>
      <c r="BC509">
        <v>482</v>
      </c>
      <c r="BD509" t="s">
        <v>74</v>
      </c>
      <c r="BE509" t="s">
        <v>8085</v>
      </c>
      <c r="BF509" t="str">
        <f>HYPERLINK("http://dx.doi.org/10.1657/1523-0430(2005)037[0477:AESTEI]2.0.CO;2","http://dx.doi.org/10.1657/1523-0430(2005)037[0477:AESTEI]2.0.CO;2")</f>
        <v>http://dx.doi.org/10.1657/1523-0430(2005)037[0477:AESTEI]2.0.CO;2</v>
      </c>
      <c r="BG509" t="s">
        <v>74</v>
      </c>
      <c r="BH509" t="s">
        <v>74</v>
      </c>
      <c r="BI509">
        <v>6</v>
      </c>
      <c r="BJ509" t="s">
        <v>8006</v>
      </c>
      <c r="BK509" t="s">
        <v>98</v>
      </c>
      <c r="BL509" t="s">
        <v>8007</v>
      </c>
      <c r="BM509" t="s">
        <v>8008</v>
      </c>
      <c r="BN509" t="s">
        <v>74</v>
      </c>
      <c r="BO509" t="s">
        <v>534</v>
      </c>
      <c r="BP509" t="s">
        <v>74</v>
      </c>
      <c r="BQ509" t="s">
        <v>74</v>
      </c>
      <c r="BR509" t="s">
        <v>101</v>
      </c>
      <c r="BS509" t="s">
        <v>8086</v>
      </c>
      <c r="BT509" t="str">
        <f>HYPERLINK("https%3A%2F%2Fwww.webofscience.com%2Fwos%2Fwoscc%2Ffull-record%2FWOS:000233757800008","View Full Record in Web of Science")</f>
        <v>View Full Record in Web of Science</v>
      </c>
    </row>
    <row r="510" spans="1:72" x14ac:dyDescent="0.15">
      <c r="A510" t="s">
        <v>72</v>
      </c>
      <c r="B510" t="s">
        <v>8087</v>
      </c>
      <c r="C510" t="s">
        <v>74</v>
      </c>
      <c r="D510" t="s">
        <v>74</v>
      </c>
      <c r="E510" t="s">
        <v>74</v>
      </c>
      <c r="F510" t="s">
        <v>8087</v>
      </c>
      <c r="G510" t="s">
        <v>74</v>
      </c>
      <c r="H510" t="s">
        <v>74</v>
      </c>
      <c r="I510" t="s">
        <v>8088</v>
      </c>
      <c r="J510" t="s">
        <v>7990</v>
      </c>
      <c r="K510" t="s">
        <v>74</v>
      </c>
      <c r="L510" t="s">
        <v>74</v>
      </c>
      <c r="M510" t="s">
        <v>77</v>
      </c>
      <c r="N510" t="s">
        <v>78</v>
      </c>
      <c r="O510" t="s">
        <v>74</v>
      </c>
      <c r="P510" t="s">
        <v>74</v>
      </c>
      <c r="Q510" t="s">
        <v>74</v>
      </c>
      <c r="R510" t="s">
        <v>74</v>
      </c>
      <c r="S510" t="s">
        <v>74</v>
      </c>
      <c r="T510" t="s">
        <v>74</v>
      </c>
      <c r="U510" t="s">
        <v>8089</v>
      </c>
      <c r="V510" t="s">
        <v>8090</v>
      </c>
      <c r="W510" t="s">
        <v>8091</v>
      </c>
      <c r="X510" t="s">
        <v>8092</v>
      </c>
      <c r="Y510" t="s">
        <v>8093</v>
      </c>
      <c r="Z510" t="s">
        <v>8094</v>
      </c>
      <c r="AA510" t="s">
        <v>8095</v>
      </c>
      <c r="AB510" t="s">
        <v>8096</v>
      </c>
      <c r="AC510" t="s">
        <v>74</v>
      </c>
      <c r="AD510" t="s">
        <v>74</v>
      </c>
      <c r="AE510" t="s">
        <v>74</v>
      </c>
      <c r="AF510" t="s">
        <v>74</v>
      </c>
      <c r="AG510">
        <v>51</v>
      </c>
      <c r="AH510">
        <v>3</v>
      </c>
      <c r="AI510">
        <v>4</v>
      </c>
      <c r="AJ510">
        <v>0</v>
      </c>
      <c r="AK510">
        <v>7</v>
      </c>
      <c r="AL510" t="s">
        <v>348</v>
      </c>
      <c r="AM510" t="s">
        <v>349</v>
      </c>
      <c r="AN510" t="s">
        <v>1523</v>
      </c>
      <c r="AO510" t="s">
        <v>8001</v>
      </c>
      <c r="AP510" t="s">
        <v>8002</v>
      </c>
      <c r="AQ510" t="s">
        <v>74</v>
      </c>
      <c r="AR510" t="s">
        <v>8003</v>
      </c>
      <c r="AS510" t="s">
        <v>8004</v>
      </c>
      <c r="AT510" t="s">
        <v>7971</v>
      </c>
      <c r="AU510">
        <v>2005</v>
      </c>
      <c r="AV510">
        <v>37</v>
      </c>
      <c r="AW510">
        <v>4</v>
      </c>
      <c r="AX510" t="s">
        <v>74</v>
      </c>
      <c r="AY510" t="s">
        <v>74</v>
      </c>
      <c r="AZ510" t="s">
        <v>74</v>
      </c>
      <c r="BA510" t="s">
        <v>74</v>
      </c>
      <c r="BB510">
        <v>483</v>
      </c>
      <c r="BC510">
        <v>489</v>
      </c>
      <c r="BD510" t="s">
        <v>74</v>
      </c>
      <c r="BE510" t="s">
        <v>8097</v>
      </c>
      <c r="BF510" t="str">
        <f>HYPERLINK("http://dx.doi.org/10.1657/1523-0430(2005)037[0483:MTEOVI]2.0.CO;2","http://dx.doi.org/10.1657/1523-0430(2005)037[0483:MTEOVI]2.0.CO;2")</f>
        <v>http://dx.doi.org/10.1657/1523-0430(2005)037[0483:MTEOVI]2.0.CO;2</v>
      </c>
      <c r="BG510" t="s">
        <v>74</v>
      </c>
      <c r="BH510" t="s">
        <v>74</v>
      </c>
      <c r="BI510">
        <v>7</v>
      </c>
      <c r="BJ510" t="s">
        <v>8006</v>
      </c>
      <c r="BK510" t="s">
        <v>98</v>
      </c>
      <c r="BL510" t="s">
        <v>8007</v>
      </c>
      <c r="BM510" t="s">
        <v>8008</v>
      </c>
      <c r="BN510" t="s">
        <v>74</v>
      </c>
      <c r="BO510" t="s">
        <v>534</v>
      </c>
      <c r="BP510" t="s">
        <v>74</v>
      </c>
      <c r="BQ510" t="s">
        <v>74</v>
      </c>
      <c r="BR510" t="s">
        <v>101</v>
      </c>
      <c r="BS510" t="s">
        <v>8098</v>
      </c>
      <c r="BT510" t="str">
        <f>HYPERLINK("https%3A%2F%2Fwww.webofscience.com%2Fwos%2Fwoscc%2Ffull-record%2FWOS:000233757800009","View Full Record in Web of Science")</f>
        <v>View Full Record in Web of Science</v>
      </c>
    </row>
    <row r="511" spans="1:72" x14ac:dyDescent="0.15">
      <c r="A511" t="s">
        <v>72</v>
      </c>
      <c r="B511" t="s">
        <v>8099</v>
      </c>
      <c r="C511" t="s">
        <v>74</v>
      </c>
      <c r="D511" t="s">
        <v>74</v>
      </c>
      <c r="E511" t="s">
        <v>74</v>
      </c>
      <c r="F511" t="s">
        <v>8099</v>
      </c>
      <c r="G511" t="s">
        <v>74</v>
      </c>
      <c r="H511" t="s">
        <v>74</v>
      </c>
      <c r="I511" t="s">
        <v>8100</v>
      </c>
      <c r="J511" t="s">
        <v>7990</v>
      </c>
      <c r="K511" t="s">
        <v>74</v>
      </c>
      <c r="L511" t="s">
        <v>74</v>
      </c>
      <c r="M511" t="s">
        <v>77</v>
      </c>
      <c r="N511" t="s">
        <v>78</v>
      </c>
      <c r="O511" t="s">
        <v>74</v>
      </c>
      <c r="P511" t="s">
        <v>74</v>
      </c>
      <c r="Q511" t="s">
        <v>74</v>
      </c>
      <c r="R511" t="s">
        <v>74</v>
      </c>
      <c r="S511" t="s">
        <v>74</v>
      </c>
      <c r="T511" t="s">
        <v>74</v>
      </c>
      <c r="U511" t="s">
        <v>8101</v>
      </c>
      <c r="V511" t="s">
        <v>8102</v>
      </c>
      <c r="W511" t="s">
        <v>8103</v>
      </c>
      <c r="X511" t="s">
        <v>8104</v>
      </c>
      <c r="Y511" t="s">
        <v>8105</v>
      </c>
      <c r="Z511" t="s">
        <v>8106</v>
      </c>
      <c r="AA511" t="s">
        <v>8107</v>
      </c>
      <c r="AB511" t="s">
        <v>74</v>
      </c>
      <c r="AC511" t="s">
        <v>74</v>
      </c>
      <c r="AD511" t="s">
        <v>74</v>
      </c>
      <c r="AE511" t="s">
        <v>74</v>
      </c>
      <c r="AF511" t="s">
        <v>74</v>
      </c>
      <c r="AG511">
        <v>43</v>
      </c>
      <c r="AH511">
        <v>33</v>
      </c>
      <c r="AI511">
        <v>38</v>
      </c>
      <c r="AJ511">
        <v>1</v>
      </c>
      <c r="AK511">
        <v>10</v>
      </c>
      <c r="AL511" t="s">
        <v>348</v>
      </c>
      <c r="AM511" t="s">
        <v>349</v>
      </c>
      <c r="AN511" t="s">
        <v>1523</v>
      </c>
      <c r="AO511" t="s">
        <v>8001</v>
      </c>
      <c r="AP511" t="s">
        <v>8002</v>
      </c>
      <c r="AQ511" t="s">
        <v>74</v>
      </c>
      <c r="AR511" t="s">
        <v>8003</v>
      </c>
      <c r="AS511" t="s">
        <v>8004</v>
      </c>
      <c r="AT511" t="s">
        <v>7971</v>
      </c>
      <c r="AU511">
        <v>2005</v>
      </c>
      <c r="AV511">
        <v>37</v>
      </c>
      <c r="AW511">
        <v>4</v>
      </c>
      <c r="AX511" t="s">
        <v>74</v>
      </c>
      <c r="AY511" t="s">
        <v>74</v>
      </c>
      <c r="AZ511" t="s">
        <v>74</v>
      </c>
      <c r="BA511" t="s">
        <v>74</v>
      </c>
      <c r="BB511">
        <v>490</v>
      </c>
      <c r="BC511">
        <v>498</v>
      </c>
      <c r="BD511" t="s">
        <v>74</v>
      </c>
      <c r="BE511" t="s">
        <v>8108</v>
      </c>
      <c r="BF511" t="str">
        <f>HYPERLINK("http://dx.doi.org/10.1657/1523-0430(2005)037[0490:AYROPP]2.0.CO;2","http://dx.doi.org/10.1657/1523-0430(2005)037[0490:AYROPP]2.0.CO;2")</f>
        <v>http://dx.doi.org/10.1657/1523-0430(2005)037[0490:AYROPP]2.0.CO;2</v>
      </c>
      <c r="BG511" t="s">
        <v>74</v>
      </c>
      <c r="BH511" t="s">
        <v>74</v>
      </c>
      <c r="BI511">
        <v>9</v>
      </c>
      <c r="BJ511" t="s">
        <v>8006</v>
      </c>
      <c r="BK511" t="s">
        <v>98</v>
      </c>
      <c r="BL511" t="s">
        <v>8007</v>
      </c>
      <c r="BM511" t="s">
        <v>8008</v>
      </c>
      <c r="BN511" t="s">
        <v>74</v>
      </c>
      <c r="BO511" t="s">
        <v>534</v>
      </c>
      <c r="BP511" t="s">
        <v>74</v>
      </c>
      <c r="BQ511" t="s">
        <v>74</v>
      </c>
      <c r="BR511" t="s">
        <v>101</v>
      </c>
      <c r="BS511" t="s">
        <v>8109</v>
      </c>
      <c r="BT511" t="str">
        <f>HYPERLINK("https%3A%2F%2Fwww.webofscience.com%2Fwos%2Fwoscc%2Ffull-record%2FWOS:000233757800010","View Full Record in Web of Science")</f>
        <v>View Full Record in Web of Science</v>
      </c>
    </row>
    <row r="512" spans="1:72" x14ac:dyDescent="0.15">
      <c r="A512" t="s">
        <v>72</v>
      </c>
      <c r="B512" t="s">
        <v>8110</v>
      </c>
      <c r="C512" t="s">
        <v>74</v>
      </c>
      <c r="D512" t="s">
        <v>74</v>
      </c>
      <c r="E512" t="s">
        <v>74</v>
      </c>
      <c r="F512" t="s">
        <v>8110</v>
      </c>
      <c r="G512" t="s">
        <v>74</v>
      </c>
      <c r="H512" t="s">
        <v>74</v>
      </c>
      <c r="I512" t="s">
        <v>8111</v>
      </c>
      <c r="J512" t="s">
        <v>7990</v>
      </c>
      <c r="K512" t="s">
        <v>74</v>
      </c>
      <c r="L512" t="s">
        <v>74</v>
      </c>
      <c r="M512" t="s">
        <v>77</v>
      </c>
      <c r="N512" t="s">
        <v>78</v>
      </c>
      <c r="O512" t="s">
        <v>74</v>
      </c>
      <c r="P512" t="s">
        <v>74</v>
      </c>
      <c r="Q512" t="s">
        <v>74</v>
      </c>
      <c r="R512" t="s">
        <v>74</v>
      </c>
      <c r="S512" t="s">
        <v>74</v>
      </c>
      <c r="T512" t="s">
        <v>74</v>
      </c>
      <c r="U512" t="s">
        <v>8112</v>
      </c>
      <c r="V512" t="s">
        <v>8113</v>
      </c>
      <c r="W512" t="s">
        <v>8114</v>
      </c>
      <c r="X512" t="s">
        <v>8115</v>
      </c>
      <c r="Y512" t="s">
        <v>8116</v>
      </c>
      <c r="Z512" t="s">
        <v>8117</v>
      </c>
      <c r="AA512" t="s">
        <v>8118</v>
      </c>
      <c r="AB512" t="s">
        <v>8119</v>
      </c>
      <c r="AC512" t="s">
        <v>74</v>
      </c>
      <c r="AD512" t="s">
        <v>74</v>
      </c>
      <c r="AE512" t="s">
        <v>74</v>
      </c>
      <c r="AF512" t="s">
        <v>74</v>
      </c>
      <c r="AG512">
        <v>67</v>
      </c>
      <c r="AH512">
        <v>31</v>
      </c>
      <c r="AI512">
        <v>33</v>
      </c>
      <c r="AJ512">
        <v>0</v>
      </c>
      <c r="AK512">
        <v>17</v>
      </c>
      <c r="AL512" t="s">
        <v>7999</v>
      </c>
      <c r="AM512" t="s">
        <v>605</v>
      </c>
      <c r="AN512" t="s">
        <v>8000</v>
      </c>
      <c r="AO512" t="s">
        <v>8001</v>
      </c>
      <c r="AP512" t="s">
        <v>74</v>
      </c>
      <c r="AQ512" t="s">
        <v>74</v>
      </c>
      <c r="AR512" t="s">
        <v>8003</v>
      </c>
      <c r="AS512" t="s">
        <v>8004</v>
      </c>
      <c r="AT512" t="s">
        <v>7971</v>
      </c>
      <c r="AU512">
        <v>2005</v>
      </c>
      <c r="AV512">
        <v>37</v>
      </c>
      <c r="AW512">
        <v>4</v>
      </c>
      <c r="AX512" t="s">
        <v>74</v>
      </c>
      <c r="AY512" t="s">
        <v>74</v>
      </c>
      <c r="AZ512" t="s">
        <v>74</v>
      </c>
      <c r="BA512" t="s">
        <v>74</v>
      </c>
      <c r="BB512">
        <v>499</v>
      </c>
      <c r="BC512">
        <v>513</v>
      </c>
      <c r="BD512" t="s">
        <v>74</v>
      </c>
      <c r="BE512" t="s">
        <v>8120</v>
      </c>
      <c r="BF512" t="str">
        <f>HYPERLINK("http://dx.doi.org/10.1657/1523-0430(2005)037[0499:SGBHME]2.0.CO;2","http://dx.doi.org/10.1657/1523-0430(2005)037[0499:SGBHME]2.0.CO;2")</f>
        <v>http://dx.doi.org/10.1657/1523-0430(2005)037[0499:SGBHME]2.0.CO;2</v>
      </c>
      <c r="BG512" t="s">
        <v>74</v>
      </c>
      <c r="BH512" t="s">
        <v>74</v>
      </c>
      <c r="BI512">
        <v>15</v>
      </c>
      <c r="BJ512" t="s">
        <v>8006</v>
      </c>
      <c r="BK512" t="s">
        <v>98</v>
      </c>
      <c r="BL512" t="s">
        <v>8007</v>
      </c>
      <c r="BM512" t="s">
        <v>8008</v>
      </c>
      <c r="BN512" t="s">
        <v>74</v>
      </c>
      <c r="BO512" t="s">
        <v>534</v>
      </c>
      <c r="BP512" t="s">
        <v>74</v>
      </c>
      <c r="BQ512" t="s">
        <v>74</v>
      </c>
      <c r="BR512" t="s">
        <v>101</v>
      </c>
      <c r="BS512" t="s">
        <v>8121</v>
      </c>
      <c r="BT512" t="str">
        <f>HYPERLINK("https%3A%2F%2Fwww.webofscience.com%2Fwos%2Fwoscc%2Ffull-record%2FWOS:000233757800011","View Full Record in Web of Science")</f>
        <v>View Full Record in Web of Science</v>
      </c>
    </row>
    <row r="513" spans="1:72" x14ac:dyDescent="0.15">
      <c r="A513" t="s">
        <v>72</v>
      </c>
      <c r="B513" t="s">
        <v>8122</v>
      </c>
      <c r="C513" t="s">
        <v>74</v>
      </c>
      <c r="D513" t="s">
        <v>74</v>
      </c>
      <c r="E513" t="s">
        <v>74</v>
      </c>
      <c r="F513" t="s">
        <v>8122</v>
      </c>
      <c r="G513" t="s">
        <v>74</v>
      </c>
      <c r="H513" t="s">
        <v>74</v>
      </c>
      <c r="I513" t="s">
        <v>8123</v>
      </c>
      <c r="J513" t="s">
        <v>7990</v>
      </c>
      <c r="K513" t="s">
        <v>74</v>
      </c>
      <c r="L513" t="s">
        <v>74</v>
      </c>
      <c r="M513" t="s">
        <v>77</v>
      </c>
      <c r="N513" t="s">
        <v>78</v>
      </c>
      <c r="O513" t="s">
        <v>74</v>
      </c>
      <c r="P513" t="s">
        <v>74</v>
      </c>
      <c r="Q513" t="s">
        <v>74</v>
      </c>
      <c r="R513" t="s">
        <v>74</v>
      </c>
      <c r="S513" t="s">
        <v>74</v>
      </c>
      <c r="T513" t="s">
        <v>74</v>
      </c>
      <c r="U513" t="s">
        <v>8124</v>
      </c>
      <c r="V513" t="s">
        <v>8125</v>
      </c>
      <c r="W513" t="s">
        <v>8126</v>
      </c>
      <c r="X513" t="s">
        <v>8127</v>
      </c>
      <c r="Y513" t="s">
        <v>8128</v>
      </c>
      <c r="Z513" t="s">
        <v>8129</v>
      </c>
      <c r="AA513" t="s">
        <v>8130</v>
      </c>
      <c r="AB513" t="s">
        <v>8131</v>
      </c>
      <c r="AC513" t="s">
        <v>74</v>
      </c>
      <c r="AD513" t="s">
        <v>74</v>
      </c>
      <c r="AE513" t="s">
        <v>74</v>
      </c>
      <c r="AF513" t="s">
        <v>74</v>
      </c>
      <c r="AG513">
        <v>26</v>
      </c>
      <c r="AH513">
        <v>45</v>
      </c>
      <c r="AI513">
        <v>52</v>
      </c>
      <c r="AJ513">
        <v>1</v>
      </c>
      <c r="AK513">
        <v>33</v>
      </c>
      <c r="AL513" t="s">
        <v>7999</v>
      </c>
      <c r="AM513" t="s">
        <v>605</v>
      </c>
      <c r="AN513" t="s">
        <v>8000</v>
      </c>
      <c r="AO513" t="s">
        <v>8001</v>
      </c>
      <c r="AP513" t="s">
        <v>8002</v>
      </c>
      <c r="AQ513" t="s">
        <v>74</v>
      </c>
      <c r="AR513" t="s">
        <v>8003</v>
      </c>
      <c r="AS513" t="s">
        <v>8004</v>
      </c>
      <c r="AT513" t="s">
        <v>7971</v>
      </c>
      <c r="AU513">
        <v>2005</v>
      </c>
      <c r="AV513">
        <v>37</v>
      </c>
      <c r="AW513">
        <v>4</v>
      </c>
      <c r="AX513" t="s">
        <v>74</v>
      </c>
      <c r="AY513" t="s">
        <v>74</v>
      </c>
      <c r="AZ513" t="s">
        <v>74</v>
      </c>
      <c r="BA513" t="s">
        <v>74</v>
      </c>
      <c r="BB513">
        <v>514</v>
      </c>
      <c r="BC513">
        <v>520</v>
      </c>
      <c r="BD513" t="s">
        <v>74</v>
      </c>
      <c r="BE513" t="s">
        <v>8132</v>
      </c>
      <c r="BF513" t="str">
        <f>HYPERLINK("http://dx.doi.org/10.1657/1523-0430(2005)037[0514:TDAHCW]2.0.CO;2","http://dx.doi.org/10.1657/1523-0430(2005)037[0514:TDAHCW]2.0.CO;2")</f>
        <v>http://dx.doi.org/10.1657/1523-0430(2005)037[0514:TDAHCW]2.0.CO;2</v>
      </c>
      <c r="BG513" t="s">
        <v>74</v>
      </c>
      <c r="BH513" t="s">
        <v>74</v>
      </c>
      <c r="BI513">
        <v>7</v>
      </c>
      <c r="BJ513" t="s">
        <v>8006</v>
      </c>
      <c r="BK513" t="s">
        <v>98</v>
      </c>
      <c r="BL513" t="s">
        <v>8007</v>
      </c>
      <c r="BM513" t="s">
        <v>8008</v>
      </c>
      <c r="BN513" t="s">
        <v>74</v>
      </c>
      <c r="BO513" t="s">
        <v>534</v>
      </c>
      <c r="BP513" t="s">
        <v>74</v>
      </c>
      <c r="BQ513" t="s">
        <v>74</v>
      </c>
      <c r="BR513" t="s">
        <v>101</v>
      </c>
      <c r="BS513" t="s">
        <v>8133</v>
      </c>
      <c r="BT513" t="str">
        <f>HYPERLINK("https%3A%2F%2Fwww.webofscience.com%2Fwos%2Fwoscc%2Ffull-record%2FWOS:000233757800012","View Full Record in Web of Science")</f>
        <v>View Full Record in Web of Science</v>
      </c>
    </row>
    <row r="514" spans="1:72" x14ac:dyDescent="0.15">
      <c r="A514" t="s">
        <v>72</v>
      </c>
      <c r="B514" t="s">
        <v>8134</v>
      </c>
      <c r="C514" t="s">
        <v>74</v>
      </c>
      <c r="D514" t="s">
        <v>74</v>
      </c>
      <c r="E514" t="s">
        <v>74</v>
      </c>
      <c r="F514" t="s">
        <v>8134</v>
      </c>
      <c r="G514" t="s">
        <v>74</v>
      </c>
      <c r="H514" t="s">
        <v>74</v>
      </c>
      <c r="I514" t="s">
        <v>8135</v>
      </c>
      <c r="J514" t="s">
        <v>7990</v>
      </c>
      <c r="K514" t="s">
        <v>74</v>
      </c>
      <c r="L514" t="s">
        <v>74</v>
      </c>
      <c r="M514" t="s">
        <v>77</v>
      </c>
      <c r="N514" t="s">
        <v>78</v>
      </c>
      <c r="O514" t="s">
        <v>74</v>
      </c>
      <c r="P514" t="s">
        <v>74</v>
      </c>
      <c r="Q514" t="s">
        <v>74</v>
      </c>
      <c r="R514" t="s">
        <v>74</v>
      </c>
      <c r="S514" t="s">
        <v>74</v>
      </c>
      <c r="T514" t="s">
        <v>74</v>
      </c>
      <c r="U514" t="s">
        <v>74</v>
      </c>
      <c r="V514" t="s">
        <v>8136</v>
      </c>
      <c r="W514" t="s">
        <v>8137</v>
      </c>
      <c r="X514" t="s">
        <v>8138</v>
      </c>
      <c r="Y514" t="s">
        <v>8139</v>
      </c>
      <c r="Z514" t="s">
        <v>8140</v>
      </c>
      <c r="AA514" t="s">
        <v>74</v>
      </c>
      <c r="AB514" t="s">
        <v>74</v>
      </c>
      <c r="AC514" t="s">
        <v>74</v>
      </c>
      <c r="AD514" t="s">
        <v>74</v>
      </c>
      <c r="AE514" t="s">
        <v>74</v>
      </c>
      <c r="AF514" t="s">
        <v>74</v>
      </c>
      <c r="AG514">
        <v>45</v>
      </c>
      <c r="AH514">
        <v>13</v>
      </c>
      <c r="AI514">
        <v>14</v>
      </c>
      <c r="AJ514">
        <v>0</v>
      </c>
      <c r="AK514">
        <v>19</v>
      </c>
      <c r="AL514" t="s">
        <v>7999</v>
      </c>
      <c r="AM514" t="s">
        <v>605</v>
      </c>
      <c r="AN514" t="s">
        <v>8000</v>
      </c>
      <c r="AO514" t="s">
        <v>8001</v>
      </c>
      <c r="AP514" t="s">
        <v>74</v>
      </c>
      <c r="AQ514" t="s">
        <v>74</v>
      </c>
      <c r="AR514" t="s">
        <v>8003</v>
      </c>
      <c r="AS514" t="s">
        <v>8004</v>
      </c>
      <c r="AT514" t="s">
        <v>7971</v>
      </c>
      <c r="AU514">
        <v>2005</v>
      </c>
      <c r="AV514">
        <v>37</v>
      </c>
      <c r="AW514">
        <v>4</v>
      </c>
      <c r="AX514" t="s">
        <v>74</v>
      </c>
      <c r="AY514" t="s">
        <v>74</v>
      </c>
      <c r="AZ514" t="s">
        <v>74</v>
      </c>
      <c r="BA514" t="s">
        <v>74</v>
      </c>
      <c r="BB514">
        <v>521</v>
      </c>
      <c r="BC514">
        <v>526</v>
      </c>
      <c r="BD514" t="s">
        <v>74</v>
      </c>
      <c r="BE514" t="s">
        <v>8141</v>
      </c>
      <c r="BF514" t="str">
        <f>HYPERLINK("http://dx.doi.org/10.1657/1523-0430(2005)037[0521:LIOCGO]2.0.CO;2","http://dx.doi.org/10.1657/1523-0430(2005)037[0521:LIOCGO]2.0.CO;2")</f>
        <v>http://dx.doi.org/10.1657/1523-0430(2005)037[0521:LIOCGO]2.0.CO;2</v>
      </c>
      <c r="BG514" t="s">
        <v>74</v>
      </c>
      <c r="BH514" t="s">
        <v>74</v>
      </c>
      <c r="BI514">
        <v>6</v>
      </c>
      <c r="BJ514" t="s">
        <v>8006</v>
      </c>
      <c r="BK514" t="s">
        <v>98</v>
      </c>
      <c r="BL514" t="s">
        <v>8007</v>
      </c>
      <c r="BM514" t="s">
        <v>8008</v>
      </c>
      <c r="BN514" t="s">
        <v>74</v>
      </c>
      <c r="BO514" t="s">
        <v>3992</v>
      </c>
      <c r="BP514" t="s">
        <v>74</v>
      </c>
      <c r="BQ514" t="s">
        <v>74</v>
      </c>
      <c r="BR514" t="s">
        <v>101</v>
      </c>
      <c r="BS514" t="s">
        <v>8142</v>
      </c>
      <c r="BT514" t="str">
        <f>HYPERLINK("https%3A%2F%2Fwww.webofscience.com%2Fwos%2Fwoscc%2Ffull-record%2FWOS:000233757800013","View Full Record in Web of Science")</f>
        <v>View Full Record in Web of Science</v>
      </c>
    </row>
    <row r="515" spans="1:72" x14ac:dyDescent="0.15">
      <c r="A515" t="s">
        <v>72</v>
      </c>
      <c r="B515" t="s">
        <v>8143</v>
      </c>
      <c r="C515" t="s">
        <v>74</v>
      </c>
      <c r="D515" t="s">
        <v>74</v>
      </c>
      <c r="E515" t="s">
        <v>74</v>
      </c>
      <c r="F515" t="s">
        <v>8143</v>
      </c>
      <c r="G515" t="s">
        <v>74</v>
      </c>
      <c r="H515" t="s">
        <v>74</v>
      </c>
      <c r="I515" t="s">
        <v>8144</v>
      </c>
      <c r="J515" t="s">
        <v>7990</v>
      </c>
      <c r="K515" t="s">
        <v>74</v>
      </c>
      <c r="L515" t="s">
        <v>74</v>
      </c>
      <c r="M515" t="s">
        <v>77</v>
      </c>
      <c r="N515" t="s">
        <v>78</v>
      </c>
      <c r="O515" t="s">
        <v>74</v>
      </c>
      <c r="P515" t="s">
        <v>74</v>
      </c>
      <c r="Q515" t="s">
        <v>74</v>
      </c>
      <c r="R515" t="s">
        <v>74</v>
      </c>
      <c r="S515" t="s">
        <v>74</v>
      </c>
      <c r="T515" t="s">
        <v>74</v>
      </c>
      <c r="U515" t="s">
        <v>8145</v>
      </c>
      <c r="V515" t="s">
        <v>8146</v>
      </c>
      <c r="W515" t="s">
        <v>8147</v>
      </c>
      <c r="X515" t="s">
        <v>8148</v>
      </c>
      <c r="Y515" t="s">
        <v>8149</v>
      </c>
      <c r="Z515" t="s">
        <v>8150</v>
      </c>
      <c r="AA515" t="s">
        <v>8151</v>
      </c>
      <c r="AB515" t="s">
        <v>74</v>
      </c>
      <c r="AC515" t="s">
        <v>74</v>
      </c>
      <c r="AD515" t="s">
        <v>74</v>
      </c>
      <c r="AE515" t="s">
        <v>74</v>
      </c>
      <c r="AF515" t="s">
        <v>74</v>
      </c>
      <c r="AG515">
        <v>39</v>
      </c>
      <c r="AH515">
        <v>29</v>
      </c>
      <c r="AI515">
        <v>35</v>
      </c>
      <c r="AJ515">
        <v>1</v>
      </c>
      <c r="AK515">
        <v>22</v>
      </c>
      <c r="AL515" t="s">
        <v>7999</v>
      </c>
      <c r="AM515" t="s">
        <v>605</v>
      </c>
      <c r="AN515" t="s">
        <v>8000</v>
      </c>
      <c r="AO515" t="s">
        <v>8001</v>
      </c>
      <c r="AP515" t="s">
        <v>74</v>
      </c>
      <c r="AQ515" t="s">
        <v>74</v>
      </c>
      <c r="AR515" t="s">
        <v>8003</v>
      </c>
      <c r="AS515" t="s">
        <v>8004</v>
      </c>
      <c r="AT515" t="s">
        <v>7971</v>
      </c>
      <c r="AU515">
        <v>2005</v>
      </c>
      <c r="AV515">
        <v>37</v>
      </c>
      <c r="AW515">
        <v>4</v>
      </c>
      <c r="AX515" t="s">
        <v>74</v>
      </c>
      <c r="AY515" t="s">
        <v>74</v>
      </c>
      <c r="AZ515" t="s">
        <v>74</v>
      </c>
      <c r="BA515" t="s">
        <v>74</v>
      </c>
      <c r="BB515">
        <v>527</v>
      </c>
      <c r="BC515">
        <v>538</v>
      </c>
      <c r="BD515" t="s">
        <v>74</v>
      </c>
      <c r="BE515" t="s">
        <v>8152</v>
      </c>
      <c r="BF515" t="str">
        <f>HYPERLINK("http://dx.doi.org/10.1657/1523-0430(2005)037[0527:TTDOCD]2.0.CO;2","http://dx.doi.org/10.1657/1523-0430(2005)037[0527:TTDOCD]2.0.CO;2")</f>
        <v>http://dx.doi.org/10.1657/1523-0430(2005)037[0527:TTDOCD]2.0.CO;2</v>
      </c>
      <c r="BG515" t="s">
        <v>74</v>
      </c>
      <c r="BH515" t="s">
        <v>74</v>
      </c>
      <c r="BI515">
        <v>12</v>
      </c>
      <c r="BJ515" t="s">
        <v>8006</v>
      </c>
      <c r="BK515" t="s">
        <v>98</v>
      </c>
      <c r="BL515" t="s">
        <v>8007</v>
      </c>
      <c r="BM515" t="s">
        <v>8008</v>
      </c>
      <c r="BN515" t="s">
        <v>74</v>
      </c>
      <c r="BO515" t="s">
        <v>534</v>
      </c>
      <c r="BP515" t="s">
        <v>74</v>
      </c>
      <c r="BQ515" t="s">
        <v>74</v>
      </c>
      <c r="BR515" t="s">
        <v>101</v>
      </c>
      <c r="BS515" t="s">
        <v>8153</v>
      </c>
      <c r="BT515" t="str">
        <f>HYPERLINK("https%3A%2F%2Fwww.webofscience.com%2Fwos%2Fwoscc%2Ffull-record%2FWOS:000233757800014","View Full Record in Web of Science")</f>
        <v>View Full Record in Web of Science</v>
      </c>
    </row>
    <row r="516" spans="1:72" x14ac:dyDescent="0.15">
      <c r="A516" t="s">
        <v>72</v>
      </c>
      <c r="B516" t="s">
        <v>8154</v>
      </c>
      <c r="C516" t="s">
        <v>74</v>
      </c>
      <c r="D516" t="s">
        <v>74</v>
      </c>
      <c r="E516" t="s">
        <v>74</v>
      </c>
      <c r="F516" t="s">
        <v>8154</v>
      </c>
      <c r="G516" t="s">
        <v>74</v>
      </c>
      <c r="H516" t="s">
        <v>74</v>
      </c>
      <c r="I516" t="s">
        <v>8155</v>
      </c>
      <c r="J516" t="s">
        <v>7990</v>
      </c>
      <c r="K516" t="s">
        <v>74</v>
      </c>
      <c r="L516" t="s">
        <v>74</v>
      </c>
      <c r="M516" t="s">
        <v>77</v>
      </c>
      <c r="N516" t="s">
        <v>78</v>
      </c>
      <c r="O516" t="s">
        <v>74</v>
      </c>
      <c r="P516" t="s">
        <v>74</v>
      </c>
      <c r="Q516" t="s">
        <v>74</v>
      </c>
      <c r="R516" t="s">
        <v>74</v>
      </c>
      <c r="S516" t="s">
        <v>74</v>
      </c>
      <c r="T516" t="s">
        <v>74</v>
      </c>
      <c r="U516" t="s">
        <v>74</v>
      </c>
      <c r="V516" t="s">
        <v>8156</v>
      </c>
      <c r="W516" t="s">
        <v>8157</v>
      </c>
      <c r="X516" t="s">
        <v>8158</v>
      </c>
      <c r="Y516" t="s">
        <v>8159</v>
      </c>
      <c r="Z516" t="s">
        <v>8160</v>
      </c>
      <c r="AA516" t="s">
        <v>74</v>
      </c>
      <c r="AB516" t="s">
        <v>8161</v>
      </c>
      <c r="AC516" t="s">
        <v>74</v>
      </c>
      <c r="AD516" t="s">
        <v>74</v>
      </c>
      <c r="AE516" t="s">
        <v>74</v>
      </c>
      <c r="AF516" t="s">
        <v>74</v>
      </c>
      <c r="AG516">
        <v>25</v>
      </c>
      <c r="AH516">
        <v>54</v>
      </c>
      <c r="AI516">
        <v>60</v>
      </c>
      <c r="AJ516">
        <v>0</v>
      </c>
      <c r="AK516">
        <v>9</v>
      </c>
      <c r="AL516" t="s">
        <v>348</v>
      </c>
      <c r="AM516" t="s">
        <v>349</v>
      </c>
      <c r="AN516" t="s">
        <v>1523</v>
      </c>
      <c r="AO516" t="s">
        <v>8001</v>
      </c>
      <c r="AP516" t="s">
        <v>8002</v>
      </c>
      <c r="AQ516" t="s">
        <v>74</v>
      </c>
      <c r="AR516" t="s">
        <v>8003</v>
      </c>
      <c r="AS516" t="s">
        <v>8004</v>
      </c>
      <c r="AT516" t="s">
        <v>7971</v>
      </c>
      <c r="AU516">
        <v>2005</v>
      </c>
      <c r="AV516">
        <v>37</v>
      </c>
      <c r="AW516">
        <v>4</v>
      </c>
      <c r="AX516" t="s">
        <v>74</v>
      </c>
      <c r="AY516" t="s">
        <v>74</v>
      </c>
      <c r="AZ516" t="s">
        <v>74</v>
      </c>
      <c r="BA516" t="s">
        <v>74</v>
      </c>
      <c r="BB516">
        <v>539</v>
      </c>
      <c r="BC516">
        <v>544</v>
      </c>
      <c r="BD516" t="s">
        <v>74</v>
      </c>
      <c r="BE516" t="s">
        <v>8162</v>
      </c>
      <c r="BF516" t="str">
        <f>HYPERLINK("http://dx.doi.org/10.1657/1523-0430(2005)037[0539:FADOPC]2.0.CO;2","http://dx.doi.org/10.1657/1523-0430(2005)037[0539:FADOPC]2.0.CO;2")</f>
        <v>http://dx.doi.org/10.1657/1523-0430(2005)037[0539:FADOPC]2.0.CO;2</v>
      </c>
      <c r="BG516" t="s">
        <v>74</v>
      </c>
      <c r="BH516" t="s">
        <v>74</v>
      </c>
      <c r="BI516">
        <v>6</v>
      </c>
      <c r="BJ516" t="s">
        <v>8006</v>
      </c>
      <c r="BK516" t="s">
        <v>98</v>
      </c>
      <c r="BL516" t="s">
        <v>8007</v>
      </c>
      <c r="BM516" t="s">
        <v>8008</v>
      </c>
      <c r="BN516" t="s">
        <v>74</v>
      </c>
      <c r="BO516" t="s">
        <v>534</v>
      </c>
      <c r="BP516" t="s">
        <v>74</v>
      </c>
      <c r="BQ516" t="s">
        <v>74</v>
      </c>
      <c r="BR516" t="s">
        <v>101</v>
      </c>
      <c r="BS516" t="s">
        <v>8163</v>
      </c>
      <c r="BT516" t="str">
        <f>HYPERLINK("https%3A%2F%2Fwww.webofscience.com%2Fwos%2Fwoscc%2Ffull-record%2FWOS:000233757800015","View Full Record in Web of Science")</f>
        <v>View Full Record in Web of Science</v>
      </c>
    </row>
    <row r="517" spans="1:72" x14ac:dyDescent="0.15">
      <c r="A517" t="s">
        <v>72</v>
      </c>
      <c r="B517" t="s">
        <v>8164</v>
      </c>
      <c r="C517" t="s">
        <v>74</v>
      </c>
      <c r="D517" t="s">
        <v>74</v>
      </c>
      <c r="E517" t="s">
        <v>74</v>
      </c>
      <c r="F517" t="s">
        <v>8164</v>
      </c>
      <c r="G517" t="s">
        <v>74</v>
      </c>
      <c r="H517" t="s">
        <v>74</v>
      </c>
      <c r="I517" t="s">
        <v>8165</v>
      </c>
      <c r="J517" t="s">
        <v>7990</v>
      </c>
      <c r="K517" t="s">
        <v>74</v>
      </c>
      <c r="L517" t="s">
        <v>74</v>
      </c>
      <c r="M517" t="s">
        <v>77</v>
      </c>
      <c r="N517" t="s">
        <v>78</v>
      </c>
      <c r="O517" t="s">
        <v>74</v>
      </c>
      <c r="P517" t="s">
        <v>74</v>
      </c>
      <c r="Q517" t="s">
        <v>74</v>
      </c>
      <c r="R517" t="s">
        <v>74</v>
      </c>
      <c r="S517" t="s">
        <v>74</v>
      </c>
      <c r="T517" t="s">
        <v>74</v>
      </c>
      <c r="U517" t="s">
        <v>8166</v>
      </c>
      <c r="V517" t="s">
        <v>8167</v>
      </c>
      <c r="W517" t="s">
        <v>8168</v>
      </c>
      <c r="X517" t="s">
        <v>8169</v>
      </c>
      <c r="Y517" t="s">
        <v>8170</v>
      </c>
      <c r="Z517" t="s">
        <v>8171</v>
      </c>
      <c r="AA517" t="s">
        <v>8172</v>
      </c>
      <c r="AB517" t="s">
        <v>8173</v>
      </c>
      <c r="AC517" t="s">
        <v>74</v>
      </c>
      <c r="AD517" t="s">
        <v>74</v>
      </c>
      <c r="AE517" t="s">
        <v>74</v>
      </c>
      <c r="AF517" t="s">
        <v>74</v>
      </c>
      <c r="AG517">
        <v>49</v>
      </c>
      <c r="AH517">
        <v>24</v>
      </c>
      <c r="AI517">
        <v>30</v>
      </c>
      <c r="AJ517">
        <v>1</v>
      </c>
      <c r="AK517">
        <v>17</v>
      </c>
      <c r="AL517" t="s">
        <v>348</v>
      </c>
      <c r="AM517" t="s">
        <v>349</v>
      </c>
      <c r="AN517" t="s">
        <v>1523</v>
      </c>
      <c r="AO517" t="s">
        <v>8001</v>
      </c>
      <c r="AP517" t="s">
        <v>8002</v>
      </c>
      <c r="AQ517" t="s">
        <v>74</v>
      </c>
      <c r="AR517" t="s">
        <v>8003</v>
      </c>
      <c r="AS517" t="s">
        <v>8004</v>
      </c>
      <c r="AT517" t="s">
        <v>7971</v>
      </c>
      <c r="AU517">
        <v>2005</v>
      </c>
      <c r="AV517">
        <v>37</v>
      </c>
      <c r="AW517">
        <v>4</v>
      </c>
      <c r="AX517" t="s">
        <v>74</v>
      </c>
      <c r="AY517" t="s">
        <v>74</v>
      </c>
      <c r="AZ517" t="s">
        <v>74</v>
      </c>
      <c r="BA517" t="s">
        <v>74</v>
      </c>
      <c r="BB517">
        <v>545</v>
      </c>
      <c r="BC517">
        <v>556</v>
      </c>
      <c r="BD517" t="s">
        <v>74</v>
      </c>
      <c r="BE517" t="s">
        <v>8174</v>
      </c>
      <c r="BF517" t="str">
        <f>HYPERLINK("http://dx.doi.org/10.1657/1523-0430(2005)037[0545:IVICDE]2.0.CO;2","http://dx.doi.org/10.1657/1523-0430(2005)037[0545:IVICDE]2.0.CO;2")</f>
        <v>http://dx.doi.org/10.1657/1523-0430(2005)037[0545:IVICDE]2.0.CO;2</v>
      </c>
      <c r="BG517" t="s">
        <v>74</v>
      </c>
      <c r="BH517" t="s">
        <v>74</v>
      </c>
      <c r="BI517">
        <v>12</v>
      </c>
      <c r="BJ517" t="s">
        <v>8006</v>
      </c>
      <c r="BK517" t="s">
        <v>98</v>
      </c>
      <c r="BL517" t="s">
        <v>8007</v>
      </c>
      <c r="BM517" t="s">
        <v>8008</v>
      </c>
      <c r="BN517" t="s">
        <v>74</v>
      </c>
      <c r="BO517" t="s">
        <v>534</v>
      </c>
      <c r="BP517" t="s">
        <v>74</v>
      </c>
      <c r="BQ517" t="s">
        <v>74</v>
      </c>
      <c r="BR517" t="s">
        <v>101</v>
      </c>
      <c r="BS517" t="s">
        <v>8175</v>
      </c>
      <c r="BT517" t="str">
        <f>HYPERLINK("https%3A%2F%2Fwww.webofscience.com%2Fwos%2Fwoscc%2Ffull-record%2FWOS:000233757800016","View Full Record in Web of Science")</f>
        <v>View Full Record in Web of Science</v>
      </c>
    </row>
    <row r="518" spans="1:72" x14ac:dyDescent="0.15">
      <c r="A518" t="s">
        <v>72</v>
      </c>
      <c r="B518" t="s">
        <v>8176</v>
      </c>
      <c r="C518" t="s">
        <v>74</v>
      </c>
      <c r="D518" t="s">
        <v>74</v>
      </c>
      <c r="E518" t="s">
        <v>74</v>
      </c>
      <c r="F518" t="s">
        <v>8176</v>
      </c>
      <c r="G518" t="s">
        <v>74</v>
      </c>
      <c r="H518" t="s">
        <v>74</v>
      </c>
      <c r="I518" t="s">
        <v>8177</v>
      </c>
      <c r="J518" t="s">
        <v>7990</v>
      </c>
      <c r="K518" t="s">
        <v>74</v>
      </c>
      <c r="L518" t="s">
        <v>74</v>
      </c>
      <c r="M518" t="s">
        <v>77</v>
      </c>
      <c r="N518" t="s">
        <v>78</v>
      </c>
      <c r="O518" t="s">
        <v>74</v>
      </c>
      <c r="P518" t="s">
        <v>74</v>
      </c>
      <c r="Q518" t="s">
        <v>74</v>
      </c>
      <c r="R518" t="s">
        <v>74</v>
      </c>
      <c r="S518" t="s">
        <v>74</v>
      </c>
      <c r="T518" t="s">
        <v>74</v>
      </c>
      <c r="U518" t="s">
        <v>8178</v>
      </c>
      <c r="V518" t="s">
        <v>8179</v>
      </c>
      <c r="W518" t="s">
        <v>8180</v>
      </c>
      <c r="X518" t="s">
        <v>8181</v>
      </c>
      <c r="Y518" t="s">
        <v>8182</v>
      </c>
      <c r="Z518" t="s">
        <v>8183</v>
      </c>
      <c r="AA518" t="s">
        <v>74</v>
      </c>
      <c r="AB518" t="s">
        <v>74</v>
      </c>
      <c r="AC518" t="s">
        <v>74</v>
      </c>
      <c r="AD518" t="s">
        <v>74</v>
      </c>
      <c r="AE518" t="s">
        <v>74</v>
      </c>
      <c r="AF518" t="s">
        <v>74</v>
      </c>
      <c r="AG518">
        <v>28</v>
      </c>
      <c r="AH518">
        <v>50</v>
      </c>
      <c r="AI518">
        <v>66</v>
      </c>
      <c r="AJ518">
        <v>1</v>
      </c>
      <c r="AK518">
        <v>25</v>
      </c>
      <c r="AL518" t="s">
        <v>7999</v>
      </c>
      <c r="AM518" t="s">
        <v>605</v>
      </c>
      <c r="AN518" t="s">
        <v>8000</v>
      </c>
      <c r="AO518" t="s">
        <v>8001</v>
      </c>
      <c r="AP518" t="s">
        <v>74</v>
      </c>
      <c r="AQ518" t="s">
        <v>74</v>
      </c>
      <c r="AR518" t="s">
        <v>8003</v>
      </c>
      <c r="AS518" t="s">
        <v>8004</v>
      </c>
      <c r="AT518" t="s">
        <v>7971</v>
      </c>
      <c r="AU518">
        <v>2005</v>
      </c>
      <c r="AV518">
        <v>37</v>
      </c>
      <c r="AW518">
        <v>4</v>
      </c>
      <c r="AX518" t="s">
        <v>74</v>
      </c>
      <c r="AY518" t="s">
        <v>74</v>
      </c>
      <c r="AZ518" t="s">
        <v>74</v>
      </c>
      <c r="BA518" t="s">
        <v>74</v>
      </c>
      <c r="BB518">
        <v>557</v>
      </c>
      <c r="BC518">
        <v>563</v>
      </c>
      <c r="BD518" t="s">
        <v>74</v>
      </c>
      <c r="BE518" t="s">
        <v>8184</v>
      </c>
      <c r="BF518" t="str">
        <f>HYPERLINK("http://dx.doi.org/10.1657/1523-0430(2005)037[0557:ATDCMI]2.0.CO;2","http://dx.doi.org/10.1657/1523-0430(2005)037[0557:ATDCMI]2.0.CO;2")</f>
        <v>http://dx.doi.org/10.1657/1523-0430(2005)037[0557:ATDCMI]2.0.CO;2</v>
      </c>
      <c r="BG518" t="s">
        <v>74</v>
      </c>
      <c r="BH518" t="s">
        <v>74</v>
      </c>
      <c r="BI518">
        <v>7</v>
      </c>
      <c r="BJ518" t="s">
        <v>8006</v>
      </c>
      <c r="BK518" t="s">
        <v>98</v>
      </c>
      <c r="BL518" t="s">
        <v>8007</v>
      </c>
      <c r="BM518" t="s">
        <v>8008</v>
      </c>
      <c r="BN518" t="s">
        <v>74</v>
      </c>
      <c r="BO518" t="s">
        <v>2248</v>
      </c>
      <c r="BP518" t="s">
        <v>74</v>
      </c>
      <c r="BQ518" t="s">
        <v>74</v>
      </c>
      <c r="BR518" t="s">
        <v>101</v>
      </c>
      <c r="BS518" t="s">
        <v>8185</v>
      </c>
      <c r="BT518" t="str">
        <f>HYPERLINK("https%3A%2F%2Fwww.webofscience.com%2Fwos%2Fwoscc%2Ffull-record%2FWOS:000233757800017","View Full Record in Web of Science")</f>
        <v>View Full Record in Web of Science</v>
      </c>
    </row>
    <row r="519" spans="1:72" x14ac:dyDescent="0.15">
      <c r="A519" t="s">
        <v>72</v>
      </c>
      <c r="B519" t="s">
        <v>8186</v>
      </c>
      <c r="C519" t="s">
        <v>74</v>
      </c>
      <c r="D519" t="s">
        <v>74</v>
      </c>
      <c r="E519" t="s">
        <v>74</v>
      </c>
      <c r="F519" t="s">
        <v>8186</v>
      </c>
      <c r="G519" t="s">
        <v>74</v>
      </c>
      <c r="H519" t="s">
        <v>74</v>
      </c>
      <c r="I519" t="s">
        <v>8187</v>
      </c>
      <c r="J519" t="s">
        <v>7990</v>
      </c>
      <c r="K519" t="s">
        <v>74</v>
      </c>
      <c r="L519" t="s">
        <v>74</v>
      </c>
      <c r="M519" t="s">
        <v>77</v>
      </c>
      <c r="N519" t="s">
        <v>78</v>
      </c>
      <c r="O519" t="s">
        <v>74</v>
      </c>
      <c r="P519" t="s">
        <v>74</v>
      </c>
      <c r="Q519" t="s">
        <v>74</v>
      </c>
      <c r="R519" t="s">
        <v>74</v>
      </c>
      <c r="S519" t="s">
        <v>74</v>
      </c>
      <c r="T519" t="s">
        <v>74</v>
      </c>
      <c r="U519" t="s">
        <v>8188</v>
      </c>
      <c r="V519" t="s">
        <v>8189</v>
      </c>
      <c r="W519" t="s">
        <v>8190</v>
      </c>
      <c r="X519" t="s">
        <v>74</v>
      </c>
      <c r="Y519" t="s">
        <v>8191</v>
      </c>
      <c r="Z519" t="s">
        <v>8192</v>
      </c>
      <c r="AA519" t="s">
        <v>74</v>
      </c>
      <c r="AB519" t="s">
        <v>74</v>
      </c>
      <c r="AC519" t="s">
        <v>74</v>
      </c>
      <c r="AD519" t="s">
        <v>74</v>
      </c>
      <c r="AE519" t="s">
        <v>74</v>
      </c>
      <c r="AF519" t="s">
        <v>74</v>
      </c>
      <c r="AG519">
        <v>38</v>
      </c>
      <c r="AH519">
        <v>34</v>
      </c>
      <c r="AI519">
        <v>35</v>
      </c>
      <c r="AJ519">
        <v>3</v>
      </c>
      <c r="AK519">
        <v>22</v>
      </c>
      <c r="AL519" t="s">
        <v>348</v>
      </c>
      <c r="AM519" t="s">
        <v>349</v>
      </c>
      <c r="AN519" t="s">
        <v>1523</v>
      </c>
      <c r="AO519" t="s">
        <v>8001</v>
      </c>
      <c r="AP519" t="s">
        <v>8002</v>
      </c>
      <c r="AQ519" t="s">
        <v>74</v>
      </c>
      <c r="AR519" t="s">
        <v>8003</v>
      </c>
      <c r="AS519" t="s">
        <v>8004</v>
      </c>
      <c r="AT519" t="s">
        <v>7971</v>
      </c>
      <c r="AU519">
        <v>2005</v>
      </c>
      <c r="AV519">
        <v>37</v>
      </c>
      <c r="AW519">
        <v>4</v>
      </c>
      <c r="AX519" t="s">
        <v>74</v>
      </c>
      <c r="AY519" t="s">
        <v>74</v>
      </c>
      <c r="AZ519" t="s">
        <v>74</v>
      </c>
      <c r="BA519" t="s">
        <v>74</v>
      </c>
      <c r="BB519">
        <v>564</v>
      </c>
      <c r="BC519">
        <v>573</v>
      </c>
      <c r="BD519" t="s">
        <v>74</v>
      </c>
      <c r="BE519" t="s">
        <v>8193</v>
      </c>
      <c r="BF519" t="str">
        <f>HYPERLINK("http://dx.doi.org/10.1657/1523-0430(2005)037[0564:TVORIT]2.0.CO;2","http://dx.doi.org/10.1657/1523-0430(2005)037[0564:TVORIT]2.0.CO;2")</f>
        <v>http://dx.doi.org/10.1657/1523-0430(2005)037[0564:TVORIT]2.0.CO;2</v>
      </c>
      <c r="BG519" t="s">
        <v>74</v>
      </c>
      <c r="BH519" t="s">
        <v>74</v>
      </c>
      <c r="BI519">
        <v>10</v>
      </c>
      <c r="BJ519" t="s">
        <v>8006</v>
      </c>
      <c r="BK519" t="s">
        <v>98</v>
      </c>
      <c r="BL519" t="s">
        <v>8007</v>
      </c>
      <c r="BM519" t="s">
        <v>8008</v>
      </c>
      <c r="BN519" t="s">
        <v>74</v>
      </c>
      <c r="BO519" t="s">
        <v>2276</v>
      </c>
      <c r="BP519" t="s">
        <v>74</v>
      </c>
      <c r="BQ519" t="s">
        <v>74</v>
      </c>
      <c r="BR519" t="s">
        <v>101</v>
      </c>
      <c r="BS519" t="s">
        <v>8194</v>
      </c>
      <c r="BT519" t="str">
        <f>HYPERLINK("https%3A%2F%2Fwww.webofscience.com%2Fwos%2Fwoscc%2Ffull-record%2FWOS:000233757800018","View Full Record in Web of Science")</f>
        <v>View Full Record in Web of Science</v>
      </c>
    </row>
    <row r="520" spans="1:72" x14ac:dyDescent="0.15">
      <c r="A520" t="s">
        <v>72</v>
      </c>
      <c r="B520" t="s">
        <v>8195</v>
      </c>
      <c r="C520" t="s">
        <v>74</v>
      </c>
      <c r="D520" t="s">
        <v>74</v>
      </c>
      <c r="E520" t="s">
        <v>74</v>
      </c>
      <c r="F520" t="s">
        <v>8195</v>
      </c>
      <c r="G520" t="s">
        <v>74</v>
      </c>
      <c r="H520" t="s">
        <v>74</v>
      </c>
      <c r="I520" t="s">
        <v>8196</v>
      </c>
      <c r="J520" t="s">
        <v>7990</v>
      </c>
      <c r="K520" t="s">
        <v>74</v>
      </c>
      <c r="L520" t="s">
        <v>74</v>
      </c>
      <c r="M520" t="s">
        <v>77</v>
      </c>
      <c r="N520" t="s">
        <v>78</v>
      </c>
      <c r="O520" t="s">
        <v>74</v>
      </c>
      <c r="P520" t="s">
        <v>74</v>
      </c>
      <c r="Q520" t="s">
        <v>74</v>
      </c>
      <c r="R520" t="s">
        <v>74</v>
      </c>
      <c r="S520" t="s">
        <v>74</v>
      </c>
      <c r="T520" t="s">
        <v>74</v>
      </c>
      <c r="U520" t="s">
        <v>8197</v>
      </c>
      <c r="V520" t="s">
        <v>8198</v>
      </c>
      <c r="W520" t="s">
        <v>8199</v>
      </c>
      <c r="X520" t="s">
        <v>8200</v>
      </c>
      <c r="Y520" t="s">
        <v>8201</v>
      </c>
      <c r="Z520" t="s">
        <v>8202</v>
      </c>
      <c r="AA520" t="s">
        <v>8203</v>
      </c>
      <c r="AB520" t="s">
        <v>8204</v>
      </c>
      <c r="AC520" t="s">
        <v>74</v>
      </c>
      <c r="AD520" t="s">
        <v>74</v>
      </c>
      <c r="AE520" t="s">
        <v>74</v>
      </c>
      <c r="AF520" t="s">
        <v>74</v>
      </c>
      <c r="AG520">
        <v>75</v>
      </c>
      <c r="AH520">
        <v>26</v>
      </c>
      <c r="AI520">
        <v>28</v>
      </c>
      <c r="AJ520">
        <v>2</v>
      </c>
      <c r="AK520">
        <v>32</v>
      </c>
      <c r="AL520" t="s">
        <v>348</v>
      </c>
      <c r="AM520" t="s">
        <v>349</v>
      </c>
      <c r="AN520" t="s">
        <v>1523</v>
      </c>
      <c r="AO520" t="s">
        <v>8001</v>
      </c>
      <c r="AP520" t="s">
        <v>8002</v>
      </c>
      <c r="AQ520" t="s">
        <v>74</v>
      </c>
      <c r="AR520" t="s">
        <v>8003</v>
      </c>
      <c r="AS520" t="s">
        <v>8004</v>
      </c>
      <c r="AT520" t="s">
        <v>7971</v>
      </c>
      <c r="AU520">
        <v>2005</v>
      </c>
      <c r="AV520">
        <v>37</v>
      </c>
      <c r="AW520">
        <v>4</v>
      </c>
      <c r="AX520" t="s">
        <v>74</v>
      </c>
      <c r="AY520" t="s">
        <v>74</v>
      </c>
      <c r="AZ520" t="s">
        <v>74</v>
      </c>
      <c r="BA520" t="s">
        <v>74</v>
      </c>
      <c r="BB520">
        <v>574</v>
      </c>
      <c r="BC520">
        <v>584</v>
      </c>
      <c r="BD520" t="s">
        <v>74</v>
      </c>
      <c r="BE520" t="s">
        <v>8205</v>
      </c>
      <c r="BF520" t="str">
        <f>HYPERLINK("http://dx.doi.org/10.1657/1523-0430(2005)037[0574:ROAVFG]2.0.CO;2","http://dx.doi.org/10.1657/1523-0430(2005)037[0574:ROAVFG]2.0.CO;2")</f>
        <v>http://dx.doi.org/10.1657/1523-0430(2005)037[0574:ROAVFG]2.0.CO;2</v>
      </c>
      <c r="BG520" t="s">
        <v>74</v>
      </c>
      <c r="BH520" t="s">
        <v>74</v>
      </c>
      <c r="BI520">
        <v>11</v>
      </c>
      <c r="BJ520" t="s">
        <v>8006</v>
      </c>
      <c r="BK520" t="s">
        <v>98</v>
      </c>
      <c r="BL520" t="s">
        <v>8007</v>
      </c>
      <c r="BM520" t="s">
        <v>8008</v>
      </c>
      <c r="BN520" t="s">
        <v>74</v>
      </c>
      <c r="BO520" t="s">
        <v>534</v>
      </c>
      <c r="BP520" t="s">
        <v>74</v>
      </c>
      <c r="BQ520" t="s">
        <v>74</v>
      </c>
      <c r="BR520" t="s">
        <v>101</v>
      </c>
      <c r="BS520" t="s">
        <v>8206</v>
      </c>
      <c r="BT520" t="str">
        <f>HYPERLINK("https%3A%2F%2Fwww.webofscience.com%2Fwos%2Fwoscc%2Ffull-record%2FWOS:000233757800019","View Full Record in Web of Science")</f>
        <v>View Full Record in Web of Science</v>
      </c>
    </row>
    <row r="521" spans="1:72" x14ac:dyDescent="0.15">
      <c r="A521" t="s">
        <v>72</v>
      </c>
      <c r="B521" t="s">
        <v>8207</v>
      </c>
      <c r="C521" t="s">
        <v>74</v>
      </c>
      <c r="D521" t="s">
        <v>74</v>
      </c>
      <c r="E521" t="s">
        <v>74</v>
      </c>
      <c r="F521" t="s">
        <v>8207</v>
      </c>
      <c r="G521" t="s">
        <v>74</v>
      </c>
      <c r="H521" t="s">
        <v>74</v>
      </c>
      <c r="I521" t="s">
        <v>8208</v>
      </c>
      <c r="J521" t="s">
        <v>7990</v>
      </c>
      <c r="K521" t="s">
        <v>74</v>
      </c>
      <c r="L521" t="s">
        <v>74</v>
      </c>
      <c r="M521" t="s">
        <v>77</v>
      </c>
      <c r="N521" t="s">
        <v>78</v>
      </c>
      <c r="O521" t="s">
        <v>74</v>
      </c>
      <c r="P521" t="s">
        <v>74</v>
      </c>
      <c r="Q521" t="s">
        <v>74</v>
      </c>
      <c r="R521" t="s">
        <v>74</v>
      </c>
      <c r="S521" t="s">
        <v>74</v>
      </c>
      <c r="T521" t="s">
        <v>74</v>
      </c>
      <c r="U521" t="s">
        <v>8209</v>
      </c>
      <c r="V521" t="s">
        <v>8210</v>
      </c>
      <c r="W521" t="s">
        <v>8211</v>
      </c>
      <c r="X521" t="s">
        <v>5891</v>
      </c>
      <c r="Y521" t="s">
        <v>8212</v>
      </c>
      <c r="Z521" t="s">
        <v>8213</v>
      </c>
      <c r="AA521" t="s">
        <v>8214</v>
      </c>
      <c r="AB521" t="s">
        <v>74</v>
      </c>
      <c r="AC521" t="s">
        <v>74</v>
      </c>
      <c r="AD521" t="s">
        <v>74</v>
      </c>
      <c r="AE521" t="s">
        <v>74</v>
      </c>
      <c r="AF521" t="s">
        <v>74</v>
      </c>
      <c r="AG521">
        <v>55</v>
      </c>
      <c r="AH521">
        <v>30</v>
      </c>
      <c r="AI521">
        <v>35</v>
      </c>
      <c r="AJ521">
        <v>0</v>
      </c>
      <c r="AK521">
        <v>18</v>
      </c>
      <c r="AL521" t="s">
        <v>348</v>
      </c>
      <c r="AM521" t="s">
        <v>349</v>
      </c>
      <c r="AN521" t="s">
        <v>1523</v>
      </c>
      <c r="AO521" t="s">
        <v>8001</v>
      </c>
      <c r="AP521" t="s">
        <v>8002</v>
      </c>
      <c r="AQ521" t="s">
        <v>74</v>
      </c>
      <c r="AR521" t="s">
        <v>8003</v>
      </c>
      <c r="AS521" t="s">
        <v>8004</v>
      </c>
      <c r="AT521" t="s">
        <v>7971</v>
      </c>
      <c r="AU521">
        <v>2005</v>
      </c>
      <c r="AV521">
        <v>37</v>
      </c>
      <c r="AW521">
        <v>4</v>
      </c>
      <c r="AX521" t="s">
        <v>74</v>
      </c>
      <c r="AY521" t="s">
        <v>74</v>
      </c>
      <c r="AZ521" t="s">
        <v>74</v>
      </c>
      <c r="BA521" t="s">
        <v>74</v>
      </c>
      <c r="BB521">
        <v>585</v>
      </c>
      <c r="BC521">
        <v>590</v>
      </c>
      <c r="BD521" t="s">
        <v>74</v>
      </c>
      <c r="BE521" t="s">
        <v>8215</v>
      </c>
      <c r="BF521" t="str">
        <f>HYPERLINK("http://dx.doi.org/10.1657/1523-0430(2005)037[0585:NPGTTC]2.0.CO;2","http://dx.doi.org/10.1657/1523-0430(2005)037[0585:NPGTTC]2.0.CO;2")</f>
        <v>http://dx.doi.org/10.1657/1523-0430(2005)037[0585:NPGTTC]2.0.CO;2</v>
      </c>
      <c r="BG521" t="s">
        <v>74</v>
      </c>
      <c r="BH521" t="s">
        <v>74</v>
      </c>
      <c r="BI521">
        <v>6</v>
      </c>
      <c r="BJ521" t="s">
        <v>8006</v>
      </c>
      <c r="BK521" t="s">
        <v>98</v>
      </c>
      <c r="BL521" t="s">
        <v>8007</v>
      </c>
      <c r="BM521" t="s">
        <v>8008</v>
      </c>
      <c r="BN521" t="s">
        <v>74</v>
      </c>
      <c r="BO521" t="s">
        <v>534</v>
      </c>
      <c r="BP521" t="s">
        <v>74</v>
      </c>
      <c r="BQ521" t="s">
        <v>74</v>
      </c>
      <c r="BR521" t="s">
        <v>101</v>
      </c>
      <c r="BS521" t="s">
        <v>8216</v>
      </c>
      <c r="BT521" t="str">
        <f>HYPERLINK("https%3A%2F%2Fwww.webofscience.com%2Fwos%2Fwoscc%2Ffull-record%2FWOS:000233757800020","View Full Record in Web of Science")</f>
        <v>View Full Record in Web of Science</v>
      </c>
    </row>
    <row r="522" spans="1:72" x14ac:dyDescent="0.15">
      <c r="A522" t="s">
        <v>72</v>
      </c>
      <c r="B522" t="s">
        <v>8217</v>
      </c>
      <c r="C522" t="s">
        <v>74</v>
      </c>
      <c r="D522" t="s">
        <v>74</v>
      </c>
      <c r="E522" t="s">
        <v>74</v>
      </c>
      <c r="F522" t="s">
        <v>8217</v>
      </c>
      <c r="G522" t="s">
        <v>74</v>
      </c>
      <c r="H522" t="s">
        <v>74</v>
      </c>
      <c r="I522" t="s">
        <v>8218</v>
      </c>
      <c r="J522" t="s">
        <v>7990</v>
      </c>
      <c r="K522" t="s">
        <v>74</v>
      </c>
      <c r="L522" t="s">
        <v>74</v>
      </c>
      <c r="M522" t="s">
        <v>77</v>
      </c>
      <c r="N522" t="s">
        <v>78</v>
      </c>
      <c r="O522" t="s">
        <v>74</v>
      </c>
      <c r="P522" t="s">
        <v>74</v>
      </c>
      <c r="Q522" t="s">
        <v>74</v>
      </c>
      <c r="R522" t="s">
        <v>74</v>
      </c>
      <c r="S522" t="s">
        <v>74</v>
      </c>
      <c r="T522" t="s">
        <v>74</v>
      </c>
      <c r="U522" t="s">
        <v>8219</v>
      </c>
      <c r="V522" t="s">
        <v>8220</v>
      </c>
      <c r="W522" t="s">
        <v>8221</v>
      </c>
      <c r="X522" t="s">
        <v>8222</v>
      </c>
      <c r="Y522" t="s">
        <v>8223</v>
      </c>
      <c r="Z522" t="s">
        <v>8224</v>
      </c>
      <c r="AA522" t="s">
        <v>74</v>
      </c>
      <c r="AB522" t="s">
        <v>8225</v>
      </c>
      <c r="AC522" t="s">
        <v>74</v>
      </c>
      <c r="AD522" t="s">
        <v>74</v>
      </c>
      <c r="AE522" t="s">
        <v>74</v>
      </c>
      <c r="AF522" t="s">
        <v>74</v>
      </c>
      <c r="AG522">
        <v>38</v>
      </c>
      <c r="AH522">
        <v>12</v>
      </c>
      <c r="AI522">
        <v>12</v>
      </c>
      <c r="AJ522">
        <v>2</v>
      </c>
      <c r="AK522">
        <v>11</v>
      </c>
      <c r="AL522" t="s">
        <v>348</v>
      </c>
      <c r="AM522" t="s">
        <v>349</v>
      </c>
      <c r="AN522" t="s">
        <v>1523</v>
      </c>
      <c r="AO522" t="s">
        <v>8001</v>
      </c>
      <c r="AP522" t="s">
        <v>8002</v>
      </c>
      <c r="AQ522" t="s">
        <v>74</v>
      </c>
      <c r="AR522" t="s">
        <v>8003</v>
      </c>
      <c r="AS522" t="s">
        <v>8004</v>
      </c>
      <c r="AT522" t="s">
        <v>7971</v>
      </c>
      <c r="AU522">
        <v>2005</v>
      </c>
      <c r="AV522">
        <v>37</v>
      </c>
      <c r="AW522">
        <v>4</v>
      </c>
      <c r="AX522" t="s">
        <v>74</v>
      </c>
      <c r="AY522" t="s">
        <v>74</v>
      </c>
      <c r="AZ522" t="s">
        <v>74</v>
      </c>
      <c r="BA522" t="s">
        <v>74</v>
      </c>
      <c r="BB522">
        <v>591</v>
      </c>
      <c r="BC522">
        <v>601</v>
      </c>
      <c r="BD522" t="s">
        <v>74</v>
      </c>
      <c r="BE522" t="s">
        <v>8226</v>
      </c>
      <c r="BF522" t="str">
        <f>HYPERLINK("http://dx.doi.org/10.1657/1523-0430(2005)037[0591:CEUANC]2.0.CO;2","http://dx.doi.org/10.1657/1523-0430(2005)037[0591:CEUANC]2.0.CO;2")</f>
        <v>http://dx.doi.org/10.1657/1523-0430(2005)037[0591:CEUANC]2.0.CO;2</v>
      </c>
      <c r="BG522" t="s">
        <v>74</v>
      </c>
      <c r="BH522" t="s">
        <v>74</v>
      </c>
      <c r="BI522">
        <v>11</v>
      </c>
      <c r="BJ522" t="s">
        <v>8006</v>
      </c>
      <c r="BK522" t="s">
        <v>98</v>
      </c>
      <c r="BL522" t="s">
        <v>8007</v>
      </c>
      <c r="BM522" t="s">
        <v>8008</v>
      </c>
      <c r="BN522" t="s">
        <v>74</v>
      </c>
      <c r="BO522" t="s">
        <v>2248</v>
      </c>
      <c r="BP522" t="s">
        <v>74</v>
      </c>
      <c r="BQ522" t="s">
        <v>74</v>
      </c>
      <c r="BR522" t="s">
        <v>101</v>
      </c>
      <c r="BS522" t="s">
        <v>8227</v>
      </c>
      <c r="BT522" t="str">
        <f>HYPERLINK("https%3A%2F%2Fwww.webofscience.com%2Fwos%2Fwoscc%2Ffull-record%2FWOS:000233757800021","View Full Record in Web of Science")</f>
        <v>View Full Record in Web of Science</v>
      </c>
    </row>
    <row r="523" spans="1:72" x14ac:dyDescent="0.15">
      <c r="A523" t="s">
        <v>72</v>
      </c>
      <c r="B523" t="s">
        <v>8228</v>
      </c>
      <c r="C523" t="s">
        <v>74</v>
      </c>
      <c r="D523" t="s">
        <v>74</v>
      </c>
      <c r="E523" t="s">
        <v>74</v>
      </c>
      <c r="F523" t="s">
        <v>8228</v>
      </c>
      <c r="G523" t="s">
        <v>74</v>
      </c>
      <c r="H523" t="s">
        <v>74</v>
      </c>
      <c r="I523" t="s">
        <v>8229</v>
      </c>
      <c r="J523" t="s">
        <v>7990</v>
      </c>
      <c r="K523" t="s">
        <v>74</v>
      </c>
      <c r="L523" t="s">
        <v>74</v>
      </c>
      <c r="M523" t="s">
        <v>77</v>
      </c>
      <c r="N523" t="s">
        <v>78</v>
      </c>
      <c r="O523" t="s">
        <v>74</v>
      </c>
      <c r="P523" t="s">
        <v>74</v>
      </c>
      <c r="Q523" t="s">
        <v>74</v>
      </c>
      <c r="R523" t="s">
        <v>74</v>
      </c>
      <c r="S523" t="s">
        <v>74</v>
      </c>
      <c r="T523" t="s">
        <v>74</v>
      </c>
      <c r="U523" t="s">
        <v>8230</v>
      </c>
      <c r="V523" t="s">
        <v>8231</v>
      </c>
      <c r="W523" t="s">
        <v>8232</v>
      </c>
      <c r="X523" t="s">
        <v>8233</v>
      </c>
      <c r="Y523" t="s">
        <v>8234</v>
      </c>
      <c r="Z523" t="s">
        <v>8235</v>
      </c>
      <c r="AA523" t="s">
        <v>8236</v>
      </c>
      <c r="AB523" t="s">
        <v>74</v>
      </c>
      <c r="AC523" t="s">
        <v>74</v>
      </c>
      <c r="AD523" t="s">
        <v>74</v>
      </c>
      <c r="AE523" t="s">
        <v>74</v>
      </c>
      <c r="AF523" t="s">
        <v>74</v>
      </c>
      <c r="AG523">
        <v>70</v>
      </c>
      <c r="AH523">
        <v>29</v>
      </c>
      <c r="AI523">
        <v>36</v>
      </c>
      <c r="AJ523">
        <v>0</v>
      </c>
      <c r="AK523">
        <v>19</v>
      </c>
      <c r="AL523" t="s">
        <v>348</v>
      </c>
      <c r="AM523" t="s">
        <v>349</v>
      </c>
      <c r="AN523" t="s">
        <v>1523</v>
      </c>
      <c r="AO523" t="s">
        <v>8001</v>
      </c>
      <c r="AP523" t="s">
        <v>8002</v>
      </c>
      <c r="AQ523" t="s">
        <v>74</v>
      </c>
      <c r="AR523" t="s">
        <v>8003</v>
      </c>
      <c r="AS523" t="s">
        <v>8004</v>
      </c>
      <c r="AT523" t="s">
        <v>7971</v>
      </c>
      <c r="AU523">
        <v>2005</v>
      </c>
      <c r="AV523">
        <v>37</v>
      </c>
      <c r="AW523">
        <v>4</v>
      </c>
      <c r="AX523" t="s">
        <v>74</v>
      </c>
      <c r="AY523" t="s">
        <v>74</v>
      </c>
      <c r="AZ523" t="s">
        <v>74</v>
      </c>
      <c r="BA523" t="s">
        <v>74</v>
      </c>
      <c r="BB523">
        <v>602</v>
      </c>
      <c r="BC523">
        <v>610</v>
      </c>
      <c r="BD523" t="s">
        <v>74</v>
      </c>
      <c r="BE523" t="s">
        <v>8237</v>
      </c>
      <c r="BF523" t="str">
        <f>HYPERLINK("http://dx.doi.org/10.1657/1523-0430(2005)037[0602:EIOFAI]2.0.CO;2","http://dx.doi.org/10.1657/1523-0430(2005)037[0602:EIOFAI]2.0.CO;2")</f>
        <v>http://dx.doi.org/10.1657/1523-0430(2005)037[0602:EIOFAI]2.0.CO;2</v>
      </c>
      <c r="BG523" t="s">
        <v>74</v>
      </c>
      <c r="BH523" t="s">
        <v>74</v>
      </c>
      <c r="BI523">
        <v>9</v>
      </c>
      <c r="BJ523" t="s">
        <v>8006</v>
      </c>
      <c r="BK523" t="s">
        <v>98</v>
      </c>
      <c r="BL523" t="s">
        <v>8007</v>
      </c>
      <c r="BM523" t="s">
        <v>8008</v>
      </c>
      <c r="BN523" t="s">
        <v>74</v>
      </c>
      <c r="BO523" t="s">
        <v>534</v>
      </c>
      <c r="BP523" t="s">
        <v>74</v>
      </c>
      <c r="BQ523" t="s">
        <v>74</v>
      </c>
      <c r="BR523" t="s">
        <v>101</v>
      </c>
      <c r="BS523" t="s">
        <v>8238</v>
      </c>
      <c r="BT523" t="str">
        <f>HYPERLINK("https%3A%2F%2Fwww.webofscience.com%2Fwos%2Fwoscc%2Ffull-record%2FWOS:000233757800022","View Full Record in Web of Science")</f>
        <v>View Full Record in Web of Science</v>
      </c>
    </row>
    <row r="524" spans="1:72" x14ac:dyDescent="0.15">
      <c r="A524" t="s">
        <v>72</v>
      </c>
      <c r="B524" t="s">
        <v>8239</v>
      </c>
      <c r="C524" t="s">
        <v>74</v>
      </c>
      <c r="D524" t="s">
        <v>74</v>
      </c>
      <c r="E524" t="s">
        <v>74</v>
      </c>
      <c r="F524" t="s">
        <v>8239</v>
      </c>
      <c r="G524" t="s">
        <v>74</v>
      </c>
      <c r="H524" t="s">
        <v>74</v>
      </c>
      <c r="I524" t="s">
        <v>8240</v>
      </c>
      <c r="J524" t="s">
        <v>7990</v>
      </c>
      <c r="K524" t="s">
        <v>74</v>
      </c>
      <c r="L524" t="s">
        <v>74</v>
      </c>
      <c r="M524" t="s">
        <v>77</v>
      </c>
      <c r="N524" t="s">
        <v>78</v>
      </c>
      <c r="O524" t="s">
        <v>74</v>
      </c>
      <c r="P524" t="s">
        <v>74</v>
      </c>
      <c r="Q524" t="s">
        <v>74</v>
      </c>
      <c r="R524" t="s">
        <v>74</v>
      </c>
      <c r="S524" t="s">
        <v>74</v>
      </c>
      <c r="T524" t="s">
        <v>74</v>
      </c>
      <c r="U524" t="s">
        <v>8241</v>
      </c>
      <c r="V524" t="s">
        <v>8242</v>
      </c>
      <c r="W524" t="s">
        <v>8243</v>
      </c>
      <c r="X524" t="s">
        <v>8244</v>
      </c>
      <c r="Y524" t="s">
        <v>8245</v>
      </c>
      <c r="Z524" t="s">
        <v>8246</v>
      </c>
      <c r="AA524" t="s">
        <v>74</v>
      </c>
      <c r="AB524" t="s">
        <v>74</v>
      </c>
      <c r="AC524" t="s">
        <v>74</v>
      </c>
      <c r="AD524" t="s">
        <v>74</v>
      </c>
      <c r="AE524" t="s">
        <v>74</v>
      </c>
      <c r="AF524" t="s">
        <v>74</v>
      </c>
      <c r="AG524">
        <v>48</v>
      </c>
      <c r="AH524">
        <v>22</v>
      </c>
      <c r="AI524">
        <v>22</v>
      </c>
      <c r="AJ524">
        <v>0</v>
      </c>
      <c r="AK524">
        <v>9</v>
      </c>
      <c r="AL524" t="s">
        <v>348</v>
      </c>
      <c r="AM524" t="s">
        <v>349</v>
      </c>
      <c r="AN524" t="s">
        <v>1523</v>
      </c>
      <c r="AO524" t="s">
        <v>8001</v>
      </c>
      <c r="AP524" t="s">
        <v>8002</v>
      </c>
      <c r="AQ524" t="s">
        <v>74</v>
      </c>
      <c r="AR524" t="s">
        <v>8003</v>
      </c>
      <c r="AS524" t="s">
        <v>8004</v>
      </c>
      <c r="AT524" t="s">
        <v>7971</v>
      </c>
      <c r="AU524">
        <v>2005</v>
      </c>
      <c r="AV524">
        <v>37</v>
      </c>
      <c r="AW524">
        <v>4</v>
      </c>
      <c r="AX524" t="s">
        <v>74</v>
      </c>
      <c r="AY524" t="s">
        <v>74</v>
      </c>
      <c r="AZ524" t="s">
        <v>74</v>
      </c>
      <c r="BA524" t="s">
        <v>74</v>
      </c>
      <c r="BB524">
        <v>611</v>
      </c>
      <c r="BC524">
        <v>619</v>
      </c>
      <c r="BD524" t="s">
        <v>74</v>
      </c>
      <c r="BE524" t="s">
        <v>8247</v>
      </c>
      <c r="BF524" t="str">
        <f>HYPERLINK("http://dx.doi.org/10.1657/1523-0430(2005)037[0611:STOSPA]2.0.CO;2","http://dx.doi.org/10.1657/1523-0430(2005)037[0611:STOSPA]2.0.CO;2")</f>
        <v>http://dx.doi.org/10.1657/1523-0430(2005)037[0611:STOSPA]2.0.CO;2</v>
      </c>
      <c r="BG524" t="s">
        <v>74</v>
      </c>
      <c r="BH524" t="s">
        <v>74</v>
      </c>
      <c r="BI524">
        <v>9</v>
      </c>
      <c r="BJ524" t="s">
        <v>8006</v>
      </c>
      <c r="BK524" t="s">
        <v>98</v>
      </c>
      <c r="BL524" t="s">
        <v>8007</v>
      </c>
      <c r="BM524" t="s">
        <v>8008</v>
      </c>
      <c r="BN524" t="s">
        <v>74</v>
      </c>
      <c r="BO524" t="s">
        <v>534</v>
      </c>
      <c r="BP524" t="s">
        <v>74</v>
      </c>
      <c r="BQ524" t="s">
        <v>74</v>
      </c>
      <c r="BR524" t="s">
        <v>101</v>
      </c>
      <c r="BS524" t="s">
        <v>8248</v>
      </c>
      <c r="BT524" t="str">
        <f>HYPERLINK("https%3A%2F%2Fwww.webofscience.com%2Fwos%2Fwoscc%2Ffull-record%2FWOS:000233757800023","View Full Record in Web of Science")</f>
        <v>View Full Record in Web of Science</v>
      </c>
    </row>
    <row r="525" spans="1:72" x14ac:dyDescent="0.15">
      <c r="A525" t="s">
        <v>72</v>
      </c>
      <c r="B525" t="s">
        <v>8249</v>
      </c>
      <c r="C525" t="s">
        <v>74</v>
      </c>
      <c r="D525" t="s">
        <v>74</v>
      </c>
      <c r="E525" t="s">
        <v>74</v>
      </c>
      <c r="F525" t="s">
        <v>8249</v>
      </c>
      <c r="G525" t="s">
        <v>74</v>
      </c>
      <c r="H525" t="s">
        <v>74</v>
      </c>
      <c r="I525" t="s">
        <v>8250</v>
      </c>
      <c r="J525" t="s">
        <v>7990</v>
      </c>
      <c r="K525" t="s">
        <v>74</v>
      </c>
      <c r="L525" t="s">
        <v>74</v>
      </c>
      <c r="M525" t="s">
        <v>77</v>
      </c>
      <c r="N525" t="s">
        <v>78</v>
      </c>
      <c r="O525" t="s">
        <v>74</v>
      </c>
      <c r="P525" t="s">
        <v>74</v>
      </c>
      <c r="Q525" t="s">
        <v>74</v>
      </c>
      <c r="R525" t="s">
        <v>74</v>
      </c>
      <c r="S525" t="s">
        <v>74</v>
      </c>
      <c r="T525" t="s">
        <v>74</v>
      </c>
      <c r="U525" t="s">
        <v>8251</v>
      </c>
      <c r="V525" t="s">
        <v>8252</v>
      </c>
      <c r="W525" t="s">
        <v>8253</v>
      </c>
      <c r="X525" t="s">
        <v>8254</v>
      </c>
      <c r="Y525" t="s">
        <v>8255</v>
      </c>
      <c r="Z525" t="s">
        <v>8256</v>
      </c>
      <c r="AA525" t="s">
        <v>74</v>
      </c>
      <c r="AB525" t="s">
        <v>74</v>
      </c>
      <c r="AC525" t="s">
        <v>74</v>
      </c>
      <c r="AD525" t="s">
        <v>74</v>
      </c>
      <c r="AE525" t="s">
        <v>74</v>
      </c>
      <c r="AF525" t="s">
        <v>74</v>
      </c>
      <c r="AG525">
        <v>42</v>
      </c>
      <c r="AH525">
        <v>12</v>
      </c>
      <c r="AI525">
        <v>14</v>
      </c>
      <c r="AJ525">
        <v>0</v>
      </c>
      <c r="AK525">
        <v>14</v>
      </c>
      <c r="AL525" t="s">
        <v>7999</v>
      </c>
      <c r="AM525" t="s">
        <v>605</v>
      </c>
      <c r="AN525" t="s">
        <v>8000</v>
      </c>
      <c r="AO525" t="s">
        <v>8001</v>
      </c>
      <c r="AP525" t="s">
        <v>8002</v>
      </c>
      <c r="AQ525" t="s">
        <v>74</v>
      </c>
      <c r="AR525" t="s">
        <v>8003</v>
      </c>
      <c r="AS525" t="s">
        <v>8004</v>
      </c>
      <c r="AT525" t="s">
        <v>7971</v>
      </c>
      <c r="AU525">
        <v>2005</v>
      </c>
      <c r="AV525">
        <v>37</v>
      </c>
      <c r="AW525">
        <v>4</v>
      </c>
      <c r="AX525" t="s">
        <v>74</v>
      </c>
      <c r="AY525" t="s">
        <v>74</v>
      </c>
      <c r="AZ525" t="s">
        <v>74</v>
      </c>
      <c r="BA525" t="s">
        <v>74</v>
      </c>
      <c r="BB525">
        <v>620</v>
      </c>
      <c r="BC525">
        <v>625</v>
      </c>
      <c r="BD525" t="s">
        <v>74</v>
      </c>
      <c r="BE525" t="s">
        <v>8257</v>
      </c>
      <c r="BF525" t="str">
        <f>HYPERLINK("http://dx.doi.org/10.1657/1523-0430(2005)037[0620:EOAWOS]2.0.CO;2","http://dx.doi.org/10.1657/1523-0430(2005)037[0620:EOAWOS]2.0.CO;2")</f>
        <v>http://dx.doi.org/10.1657/1523-0430(2005)037[0620:EOAWOS]2.0.CO;2</v>
      </c>
      <c r="BG525" t="s">
        <v>74</v>
      </c>
      <c r="BH525" t="s">
        <v>74</v>
      </c>
      <c r="BI525">
        <v>6</v>
      </c>
      <c r="BJ525" t="s">
        <v>8006</v>
      </c>
      <c r="BK525" t="s">
        <v>98</v>
      </c>
      <c r="BL525" t="s">
        <v>8007</v>
      </c>
      <c r="BM525" t="s">
        <v>8008</v>
      </c>
      <c r="BN525" t="s">
        <v>74</v>
      </c>
      <c r="BO525" t="s">
        <v>534</v>
      </c>
      <c r="BP525" t="s">
        <v>74</v>
      </c>
      <c r="BQ525" t="s">
        <v>74</v>
      </c>
      <c r="BR525" t="s">
        <v>101</v>
      </c>
      <c r="BS525" t="s">
        <v>8258</v>
      </c>
      <c r="BT525" t="str">
        <f>HYPERLINK("https%3A%2F%2Fwww.webofscience.com%2Fwos%2Fwoscc%2Ffull-record%2FWOS:000233757800024","View Full Record in Web of Science")</f>
        <v>View Full Record in Web of Science</v>
      </c>
    </row>
    <row r="526" spans="1:72" x14ac:dyDescent="0.15">
      <c r="A526" t="s">
        <v>72</v>
      </c>
      <c r="B526" t="s">
        <v>8259</v>
      </c>
      <c r="C526" t="s">
        <v>74</v>
      </c>
      <c r="D526" t="s">
        <v>74</v>
      </c>
      <c r="E526" t="s">
        <v>74</v>
      </c>
      <c r="F526" t="s">
        <v>8259</v>
      </c>
      <c r="G526" t="s">
        <v>74</v>
      </c>
      <c r="H526" t="s">
        <v>74</v>
      </c>
      <c r="I526" t="s">
        <v>8260</v>
      </c>
      <c r="J526" t="s">
        <v>7990</v>
      </c>
      <c r="K526" t="s">
        <v>74</v>
      </c>
      <c r="L526" t="s">
        <v>74</v>
      </c>
      <c r="M526" t="s">
        <v>77</v>
      </c>
      <c r="N526" t="s">
        <v>78</v>
      </c>
      <c r="O526" t="s">
        <v>74</v>
      </c>
      <c r="P526" t="s">
        <v>74</v>
      </c>
      <c r="Q526" t="s">
        <v>74</v>
      </c>
      <c r="R526" t="s">
        <v>74</v>
      </c>
      <c r="S526" t="s">
        <v>74</v>
      </c>
      <c r="T526" t="s">
        <v>74</v>
      </c>
      <c r="U526" t="s">
        <v>8261</v>
      </c>
      <c r="V526" t="s">
        <v>8262</v>
      </c>
      <c r="W526" t="s">
        <v>8263</v>
      </c>
      <c r="X526" t="s">
        <v>8264</v>
      </c>
      <c r="Y526" t="s">
        <v>8265</v>
      </c>
      <c r="Z526" t="s">
        <v>8266</v>
      </c>
      <c r="AA526" t="s">
        <v>8267</v>
      </c>
      <c r="AB526" t="s">
        <v>8268</v>
      </c>
      <c r="AC526" t="s">
        <v>74</v>
      </c>
      <c r="AD526" t="s">
        <v>74</v>
      </c>
      <c r="AE526" t="s">
        <v>74</v>
      </c>
      <c r="AF526" t="s">
        <v>74</v>
      </c>
      <c r="AG526">
        <v>49</v>
      </c>
      <c r="AH526">
        <v>41</v>
      </c>
      <c r="AI526">
        <v>43</v>
      </c>
      <c r="AJ526">
        <v>0</v>
      </c>
      <c r="AK526">
        <v>17</v>
      </c>
      <c r="AL526" t="s">
        <v>348</v>
      </c>
      <c r="AM526" t="s">
        <v>349</v>
      </c>
      <c r="AN526" t="s">
        <v>1523</v>
      </c>
      <c r="AO526" t="s">
        <v>8001</v>
      </c>
      <c r="AP526" t="s">
        <v>8002</v>
      </c>
      <c r="AQ526" t="s">
        <v>74</v>
      </c>
      <c r="AR526" t="s">
        <v>8003</v>
      </c>
      <c r="AS526" t="s">
        <v>8004</v>
      </c>
      <c r="AT526" t="s">
        <v>7971</v>
      </c>
      <c r="AU526">
        <v>2005</v>
      </c>
      <c r="AV526">
        <v>37</v>
      </c>
      <c r="AW526">
        <v>4</v>
      </c>
      <c r="AX526" t="s">
        <v>74</v>
      </c>
      <c r="AY526" t="s">
        <v>74</v>
      </c>
      <c r="AZ526" t="s">
        <v>74</v>
      </c>
      <c r="BA526" t="s">
        <v>74</v>
      </c>
      <c r="BB526">
        <v>626</v>
      </c>
      <c r="BC526">
        <v>635</v>
      </c>
      <c r="BD526" t="s">
        <v>74</v>
      </c>
      <c r="BE526" t="s">
        <v>8269</v>
      </c>
      <c r="BF526" t="str">
        <f>HYPERLINK("http://dx.doi.org/10.1657/1523-0430(2005)037[0626:QCORMS]2.0.CO;2","http://dx.doi.org/10.1657/1523-0430(2005)037[0626:QCORMS]2.0.CO;2")</f>
        <v>http://dx.doi.org/10.1657/1523-0430(2005)037[0626:QCORMS]2.0.CO;2</v>
      </c>
      <c r="BG526" t="s">
        <v>74</v>
      </c>
      <c r="BH526" t="s">
        <v>74</v>
      </c>
      <c r="BI526">
        <v>10</v>
      </c>
      <c r="BJ526" t="s">
        <v>8006</v>
      </c>
      <c r="BK526" t="s">
        <v>98</v>
      </c>
      <c r="BL526" t="s">
        <v>8007</v>
      </c>
      <c r="BM526" t="s">
        <v>8008</v>
      </c>
      <c r="BN526" t="s">
        <v>74</v>
      </c>
      <c r="BO526" t="s">
        <v>534</v>
      </c>
      <c r="BP526" t="s">
        <v>74</v>
      </c>
      <c r="BQ526" t="s">
        <v>74</v>
      </c>
      <c r="BR526" t="s">
        <v>101</v>
      </c>
      <c r="BS526" t="s">
        <v>8270</v>
      </c>
      <c r="BT526" t="str">
        <f>HYPERLINK("https%3A%2F%2Fwww.webofscience.com%2Fwos%2Fwoscc%2Ffull-record%2FWOS:000233757800025","View Full Record in Web of Science")</f>
        <v>View Full Record in Web of Science</v>
      </c>
    </row>
    <row r="527" spans="1:72" x14ac:dyDescent="0.15">
      <c r="A527" t="s">
        <v>72</v>
      </c>
      <c r="B527" t="s">
        <v>8271</v>
      </c>
      <c r="C527" t="s">
        <v>74</v>
      </c>
      <c r="D527" t="s">
        <v>74</v>
      </c>
      <c r="E527" t="s">
        <v>74</v>
      </c>
      <c r="F527" t="s">
        <v>8271</v>
      </c>
      <c r="G527" t="s">
        <v>74</v>
      </c>
      <c r="H527" t="s">
        <v>74</v>
      </c>
      <c r="I527" t="s">
        <v>8272</v>
      </c>
      <c r="J527" t="s">
        <v>7990</v>
      </c>
      <c r="K527" t="s">
        <v>74</v>
      </c>
      <c r="L527" t="s">
        <v>74</v>
      </c>
      <c r="M527" t="s">
        <v>77</v>
      </c>
      <c r="N527" t="s">
        <v>78</v>
      </c>
      <c r="O527" t="s">
        <v>74</v>
      </c>
      <c r="P527" t="s">
        <v>74</v>
      </c>
      <c r="Q527" t="s">
        <v>74</v>
      </c>
      <c r="R527" t="s">
        <v>74</v>
      </c>
      <c r="S527" t="s">
        <v>74</v>
      </c>
      <c r="T527" t="s">
        <v>74</v>
      </c>
      <c r="U527" t="s">
        <v>8273</v>
      </c>
      <c r="V527" t="s">
        <v>8274</v>
      </c>
      <c r="W527" t="s">
        <v>8275</v>
      </c>
      <c r="X527" t="s">
        <v>8276</v>
      </c>
      <c r="Y527" t="s">
        <v>8277</v>
      </c>
      <c r="Z527" t="s">
        <v>8278</v>
      </c>
      <c r="AA527" t="s">
        <v>74</v>
      </c>
      <c r="AB527" t="s">
        <v>74</v>
      </c>
      <c r="AC527" t="s">
        <v>74</v>
      </c>
      <c r="AD527" t="s">
        <v>74</v>
      </c>
      <c r="AE527" t="s">
        <v>74</v>
      </c>
      <c r="AF527" t="s">
        <v>74</v>
      </c>
      <c r="AG527">
        <v>40</v>
      </c>
      <c r="AH527">
        <v>13</v>
      </c>
      <c r="AI527">
        <v>18</v>
      </c>
      <c r="AJ527">
        <v>0</v>
      </c>
      <c r="AK527">
        <v>11</v>
      </c>
      <c r="AL527" t="s">
        <v>7999</v>
      </c>
      <c r="AM527" t="s">
        <v>605</v>
      </c>
      <c r="AN527" t="s">
        <v>8000</v>
      </c>
      <c r="AO527" t="s">
        <v>8001</v>
      </c>
      <c r="AP527" t="s">
        <v>8002</v>
      </c>
      <c r="AQ527" t="s">
        <v>74</v>
      </c>
      <c r="AR527" t="s">
        <v>8003</v>
      </c>
      <c r="AS527" t="s">
        <v>8004</v>
      </c>
      <c r="AT527" t="s">
        <v>7971</v>
      </c>
      <c r="AU527">
        <v>2005</v>
      </c>
      <c r="AV527">
        <v>37</v>
      </c>
      <c r="AW527">
        <v>4</v>
      </c>
      <c r="AX527" t="s">
        <v>74</v>
      </c>
      <c r="AY527" t="s">
        <v>74</v>
      </c>
      <c r="AZ527" t="s">
        <v>74</v>
      </c>
      <c r="BA527" t="s">
        <v>74</v>
      </c>
      <c r="BB527">
        <v>636</v>
      </c>
      <c r="BC527">
        <v>643</v>
      </c>
      <c r="BD527" t="s">
        <v>74</v>
      </c>
      <c r="BE527" t="s">
        <v>8279</v>
      </c>
      <c r="BF527" t="str">
        <f>HYPERLINK("http://dx.doi.org/10.1657/1523-0430(2005)037[0636:HFAIWS]2.0.CO;2","http://dx.doi.org/10.1657/1523-0430(2005)037[0636:HFAIWS]2.0.CO;2")</f>
        <v>http://dx.doi.org/10.1657/1523-0430(2005)037[0636:HFAIWS]2.0.CO;2</v>
      </c>
      <c r="BG527" t="s">
        <v>74</v>
      </c>
      <c r="BH527" t="s">
        <v>74</v>
      </c>
      <c r="BI527">
        <v>8</v>
      </c>
      <c r="BJ527" t="s">
        <v>8006</v>
      </c>
      <c r="BK527" t="s">
        <v>98</v>
      </c>
      <c r="BL527" t="s">
        <v>8007</v>
      </c>
      <c r="BM527" t="s">
        <v>8008</v>
      </c>
      <c r="BN527" t="s">
        <v>74</v>
      </c>
      <c r="BO527" t="s">
        <v>534</v>
      </c>
      <c r="BP527" t="s">
        <v>74</v>
      </c>
      <c r="BQ527" t="s">
        <v>74</v>
      </c>
      <c r="BR527" t="s">
        <v>101</v>
      </c>
      <c r="BS527" t="s">
        <v>8280</v>
      </c>
      <c r="BT527" t="str">
        <f>HYPERLINK("https%3A%2F%2Fwww.webofscience.com%2Fwos%2Fwoscc%2Ffull-record%2FWOS:000233757800026","View Full Record in Web of Science")</f>
        <v>View Full Record in Web of Science</v>
      </c>
    </row>
    <row r="528" spans="1:72" x14ac:dyDescent="0.15">
      <c r="A528" t="s">
        <v>72</v>
      </c>
      <c r="B528" t="s">
        <v>8281</v>
      </c>
      <c r="C528" t="s">
        <v>74</v>
      </c>
      <c r="D528" t="s">
        <v>74</v>
      </c>
      <c r="E528" t="s">
        <v>74</v>
      </c>
      <c r="F528" t="s">
        <v>8281</v>
      </c>
      <c r="G528" t="s">
        <v>74</v>
      </c>
      <c r="H528" t="s">
        <v>74</v>
      </c>
      <c r="I528" t="s">
        <v>8282</v>
      </c>
      <c r="J528" t="s">
        <v>7752</v>
      </c>
      <c r="K528" t="s">
        <v>74</v>
      </c>
      <c r="L528" t="s">
        <v>74</v>
      </c>
      <c r="M528" t="s">
        <v>77</v>
      </c>
      <c r="N528" t="s">
        <v>78</v>
      </c>
      <c r="O528" t="s">
        <v>74</v>
      </c>
      <c r="P528" t="s">
        <v>74</v>
      </c>
      <c r="Q528" t="s">
        <v>74</v>
      </c>
      <c r="R528" t="s">
        <v>74</v>
      </c>
      <c r="S528" t="s">
        <v>74</v>
      </c>
      <c r="T528" t="s">
        <v>8283</v>
      </c>
      <c r="U528" t="s">
        <v>8284</v>
      </c>
      <c r="V528" t="s">
        <v>8285</v>
      </c>
      <c r="W528" t="s">
        <v>8286</v>
      </c>
      <c r="X528" t="s">
        <v>8287</v>
      </c>
      <c r="Y528" t="s">
        <v>8288</v>
      </c>
      <c r="Z528" t="s">
        <v>8289</v>
      </c>
      <c r="AA528" t="s">
        <v>74</v>
      </c>
      <c r="AB528" t="s">
        <v>8290</v>
      </c>
      <c r="AC528" t="s">
        <v>74</v>
      </c>
      <c r="AD528" t="s">
        <v>74</v>
      </c>
      <c r="AE528" t="s">
        <v>74</v>
      </c>
      <c r="AF528" t="s">
        <v>74</v>
      </c>
      <c r="AG528">
        <v>35</v>
      </c>
      <c r="AH528">
        <v>19</v>
      </c>
      <c r="AI528">
        <v>20</v>
      </c>
      <c r="AJ528">
        <v>0</v>
      </c>
      <c r="AK528">
        <v>2</v>
      </c>
      <c r="AL528" t="s">
        <v>8291</v>
      </c>
      <c r="AM528" t="s">
        <v>8292</v>
      </c>
      <c r="AN528" t="s">
        <v>8293</v>
      </c>
      <c r="AO528" t="s">
        <v>7760</v>
      </c>
      <c r="AP528" t="s">
        <v>8294</v>
      </c>
      <c r="AQ528" t="s">
        <v>74</v>
      </c>
      <c r="AR528" t="s">
        <v>7761</v>
      </c>
      <c r="AS528" t="s">
        <v>7762</v>
      </c>
      <c r="AT528" t="s">
        <v>8295</v>
      </c>
      <c r="AU528">
        <v>2005</v>
      </c>
      <c r="AV528">
        <v>633</v>
      </c>
      <c r="AW528">
        <v>1</v>
      </c>
      <c r="AX528">
        <v>1</v>
      </c>
      <c r="AY528" t="s">
        <v>74</v>
      </c>
      <c r="AZ528" t="s">
        <v>74</v>
      </c>
      <c r="BA528" t="s">
        <v>74</v>
      </c>
      <c r="BB528">
        <v>210</v>
      </c>
      <c r="BC528">
        <v>217</v>
      </c>
      <c r="BD528" t="s">
        <v>74</v>
      </c>
      <c r="BE528" t="s">
        <v>8296</v>
      </c>
      <c r="BF528" t="str">
        <f>HYPERLINK("http://dx.doi.org/10.1086/432928","http://dx.doi.org/10.1086/432928")</f>
        <v>http://dx.doi.org/10.1086/432928</v>
      </c>
      <c r="BG528" t="s">
        <v>74</v>
      </c>
      <c r="BH528" t="s">
        <v>74</v>
      </c>
      <c r="BI528">
        <v>8</v>
      </c>
      <c r="BJ528" t="s">
        <v>4376</v>
      </c>
      <c r="BK528" t="s">
        <v>98</v>
      </c>
      <c r="BL528" t="s">
        <v>4376</v>
      </c>
      <c r="BM528" t="s">
        <v>8297</v>
      </c>
      <c r="BN528" t="s">
        <v>74</v>
      </c>
      <c r="BO528" t="s">
        <v>74</v>
      </c>
      <c r="BP528" t="s">
        <v>74</v>
      </c>
      <c r="BQ528" t="s">
        <v>74</v>
      </c>
      <c r="BR528" t="s">
        <v>101</v>
      </c>
      <c r="BS528" t="s">
        <v>8298</v>
      </c>
      <c r="BT528" t="str">
        <f>HYPERLINK("https%3A%2F%2Fwww.webofscience.com%2Fwos%2Fwoscc%2Ffull-record%2FWOS:000232832500019","View Full Record in Web of Science")</f>
        <v>View Full Record in Web of Science</v>
      </c>
    </row>
    <row r="529" spans="1:72" x14ac:dyDescent="0.15">
      <c r="A529" t="s">
        <v>72</v>
      </c>
      <c r="B529" t="s">
        <v>8299</v>
      </c>
      <c r="C529" t="s">
        <v>74</v>
      </c>
      <c r="D529" t="s">
        <v>74</v>
      </c>
      <c r="E529" t="s">
        <v>74</v>
      </c>
      <c r="F529" t="s">
        <v>8299</v>
      </c>
      <c r="G529" t="s">
        <v>74</v>
      </c>
      <c r="H529" t="s">
        <v>74</v>
      </c>
      <c r="I529" t="s">
        <v>8300</v>
      </c>
      <c r="J529" t="s">
        <v>8301</v>
      </c>
      <c r="K529" t="s">
        <v>74</v>
      </c>
      <c r="L529" t="s">
        <v>74</v>
      </c>
      <c r="M529" t="s">
        <v>77</v>
      </c>
      <c r="N529" t="s">
        <v>78</v>
      </c>
      <c r="O529" t="s">
        <v>74</v>
      </c>
      <c r="P529" t="s">
        <v>74</v>
      </c>
      <c r="Q529" t="s">
        <v>74</v>
      </c>
      <c r="R529" t="s">
        <v>74</v>
      </c>
      <c r="S529" t="s">
        <v>74</v>
      </c>
      <c r="T529" t="s">
        <v>8302</v>
      </c>
      <c r="U529" t="s">
        <v>8303</v>
      </c>
      <c r="V529" t="s">
        <v>8304</v>
      </c>
      <c r="W529" t="s">
        <v>8305</v>
      </c>
      <c r="X529" t="s">
        <v>8306</v>
      </c>
      <c r="Y529" t="s">
        <v>8307</v>
      </c>
      <c r="Z529" t="s">
        <v>8308</v>
      </c>
      <c r="AA529" t="s">
        <v>8309</v>
      </c>
      <c r="AB529" t="s">
        <v>8310</v>
      </c>
      <c r="AC529" t="s">
        <v>74</v>
      </c>
      <c r="AD529" t="s">
        <v>74</v>
      </c>
      <c r="AE529" t="s">
        <v>74</v>
      </c>
      <c r="AF529" t="s">
        <v>74</v>
      </c>
      <c r="AG529">
        <v>36</v>
      </c>
      <c r="AH529">
        <v>53</v>
      </c>
      <c r="AI529">
        <v>60</v>
      </c>
      <c r="AJ529">
        <v>1</v>
      </c>
      <c r="AK529">
        <v>31</v>
      </c>
      <c r="AL529" t="s">
        <v>622</v>
      </c>
      <c r="AM529" t="s">
        <v>140</v>
      </c>
      <c r="AN529" t="s">
        <v>623</v>
      </c>
      <c r="AO529" t="s">
        <v>8311</v>
      </c>
      <c r="AP529" t="s">
        <v>8312</v>
      </c>
      <c r="AQ529" t="s">
        <v>74</v>
      </c>
      <c r="AR529" t="s">
        <v>8313</v>
      </c>
      <c r="AS529" t="s">
        <v>8314</v>
      </c>
      <c r="AT529" t="s">
        <v>7971</v>
      </c>
      <c r="AU529">
        <v>2005</v>
      </c>
      <c r="AV529">
        <v>39</v>
      </c>
      <c r="AW529">
        <v>34</v>
      </c>
      <c r="AX529" t="s">
        <v>74</v>
      </c>
      <c r="AY529" t="s">
        <v>74</v>
      </c>
      <c r="AZ529" t="s">
        <v>74</v>
      </c>
      <c r="BA529" t="s">
        <v>74</v>
      </c>
      <c r="BB529">
        <v>6420</v>
      </c>
      <c r="BC529">
        <v>6429</v>
      </c>
      <c r="BD529" t="s">
        <v>74</v>
      </c>
      <c r="BE529" t="s">
        <v>8315</v>
      </c>
      <c r="BF529" t="str">
        <f>HYPERLINK("http://dx.doi.org/10.1016/j.atmosenv.2005.07.025","http://dx.doi.org/10.1016/j.atmosenv.2005.07.025")</f>
        <v>http://dx.doi.org/10.1016/j.atmosenv.2005.07.025</v>
      </c>
      <c r="BG529" t="s">
        <v>74</v>
      </c>
      <c r="BH529" t="s">
        <v>74</v>
      </c>
      <c r="BI529">
        <v>10</v>
      </c>
      <c r="BJ529" t="s">
        <v>6080</v>
      </c>
      <c r="BK529" t="s">
        <v>98</v>
      </c>
      <c r="BL529" t="s">
        <v>6081</v>
      </c>
      <c r="BM529" t="s">
        <v>8316</v>
      </c>
      <c r="BN529" t="s">
        <v>74</v>
      </c>
      <c r="BO529" t="s">
        <v>74</v>
      </c>
      <c r="BP529" t="s">
        <v>74</v>
      </c>
      <c r="BQ529" t="s">
        <v>74</v>
      </c>
      <c r="BR529" t="s">
        <v>101</v>
      </c>
      <c r="BS529" t="s">
        <v>8317</v>
      </c>
      <c r="BT529" t="str">
        <f>HYPERLINK("https%3A%2F%2Fwww.webofscience.com%2Fwos%2Fwoscc%2Ffull-record%2FWOS:000233065300017","View Full Record in Web of Science")</f>
        <v>View Full Record in Web of Science</v>
      </c>
    </row>
    <row r="530" spans="1:72" x14ac:dyDescent="0.15">
      <c r="A530" t="s">
        <v>72</v>
      </c>
      <c r="B530" t="s">
        <v>8318</v>
      </c>
      <c r="C530" t="s">
        <v>74</v>
      </c>
      <c r="D530" t="s">
        <v>74</v>
      </c>
      <c r="E530" t="s">
        <v>74</v>
      </c>
      <c r="F530" t="s">
        <v>8318</v>
      </c>
      <c r="G530" t="s">
        <v>74</v>
      </c>
      <c r="H530" t="s">
        <v>74</v>
      </c>
      <c r="I530" t="s">
        <v>8319</v>
      </c>
      <c r="J530" t="s">
        <v>8320</v>
      </c>
      <c r="K530" t="s">
        <v>74</v>
      </c>
      <c r="L530" t="s">
        <v>74</v>
      </c>
      <c r="M530" t="s">
        <v>77</v>
      </c>
      <c r="N530" t="s">
        <v>78</v>
      </c>
      <c r="O530" t="s">
        <v>74</v>
      </c>
      <c r="P530" t="s">
        <v>74</v>
      </c>
      <c r="Q530" t="s">
        <v>74</v>
      </c>
      <c r="R530" t="s">
        <v>74</v>
      </c>
      <c r="S530" t="s">
        <v>74</v>
      </c>
      <c r="T530" t="s">
        <v>8321</v>
      </c>
      <c r="U530" t="s">
        <v>8322</v>
      </c>
      <c r="V530" t="s">
        <v>8323</v>
      </c>
      <c r="W530" t="s">
        <v>8324</v>
      </c>
      <c r="X530" t="s">
        <v>74</v>
      </c>
      <c r="Y530" t="s">
        <v>8325</v>
      </c>
      <c r="Z530" t="s">
        <v>8326</v>
      </c>
      <c r="AA530" t="s">
        <v>74</v>
      </c>
      <c r="AB530" t="s">
        <v>74</v>
      </c>
      <c r="AC530" t="s">
        <v>74</v>
      </c>
      <c r="AD530" t="s">
        <v>74</v>
      </c>
      <c r="AE530" t="s">
        <v>74</v>
      </c>
      <c r="AF530" t="s">
        <v>74</v>
      </c>
      <c r="AG530">
        <v>12</v>
      </c>
      <c r="AH530">
        <v>10</v>
      </c>
      <c r="AI530">
        <v>11</v>
      </c>
      <c r="AJ530">
        <v>0</v>
      </c>
      <c r="AK530">
        <v>7</v>
      </c>
      <c r="AL530" t="s">
        <v>8327</v>
      </c>
      <c r="AM530" t="s">
        <v>8328</v>
      </c>
      <c r="AN530" t="s">
        <v>8329</v>
      </c>
      <c r="AO530" t="s">
        <v>8330</v>
      </c>
      <c r="AP530" t="s">
        <v>8331</v>
      </c>
      <c r="AQ530" t="s">
        <v>74</v>
      </c>
      <c r="AR530" t="s">
        <v>8332</v>
      </c>
      <c r="AS530" t="s">
        <v>8333</v>
      </c>
      <c r="AT530" t="s">
        <v>7971</v>
      </c>
      <c r="AU530">
        <v>2005</v>
      </c>
      <c r="AV530">
        <v>76</v>
      </c>
      <c r="AW530">
        <v>11</v>
      </c>
      <c r="AX530" t="s">
        <v>74</v>
      </c>
      <c r="AY530" t="s">
        <v>74</v>
      </c>
      <c r="AZ530" t="s">
        <v>74</v>
      </c>
      <c r="BA530" t="s">
        <v>74</v>
      </c>
      <c r="BB530">
        <v>1083</v>
      </c>
      <c r="BC530">
        <v>1087</v>
      </c>
      <c r="BD530" t="s">
        <v>74</v>
      </c>
      <c r="BE530" t="s">
        <v>74</v>
      </c>
      <c r="BF530" t="s">
        <v>74</v>
      </c>
      <c r="BG530" t="s">
        <v>74</v>
      </c>
      <c r="BH530" t="s">
        <v>74</v>
      </c>
      <c r="BI530">
        <v>5</v>
      </c>
      <c r="BJ530" t="s">
        <v>8334</v>
      </c>
      <c r="BK530" t="s">
        <v>98</v>
      </c>
      <c r="BL530" t="s">
        <v>8335</v>
      </c>
      <c r="BM530" t="s">
        <v>8336</v>
      </c>
      <c r="BN530">
        <v>16313147</v>
      </c>
      <c r="BO530" t="s">
        <v>74</v>
      </c>
      <c r="BP530" t="s">
        <v>74</v>
      </c>
      <c r="BQ530" t="s">
        <v>74</v>
      </c>
      <c r="BR530" t="s">
        <v>101</v>
      </c>
      <c r="BS530" t="s">
        <v>8337</v>
      </c>
      <c r="BT530" t="str">
        <f>HYPERLINK("https%3A%2F%2Fwww.webofscience.com%2Fwos%2Fwoscc%2Ffull-record%2FWOS:000233285100014","View Full Record in Web of Science")</f>
        <v>View Full Record in Web of Science</v>
      </c>
    </row>
    <row r="531" spans="1:72" x14ac:dyDescent="0.15">
      <c r="A531" t="s">
        <v>72</v>
      </c>
      <c r="B531" t="s">
        <v>8338</v>
      </c>
      <c r="C531" t="s">
        <v>74</v>
      </c>
      <c r="D531" t="s">
        <v>74</v>
      </c>
      <c r="E531" t="s">
        <v>74</v>
      </c>
      <c r="F531" t="s">
        <v>8338</v>
      </c>
      <c r="G531" t="s">
        <v>74</v>
      </c>
      <c r="H531" t="s">
        <v>74</v>
      </c>
      <c r="I531" t="s">
        <v>8339</v>
      </c>
      <c r="J531" t="s">
        <v>8340</v>
      </c>
      <c r="K531" t="s">
        <v>74</v>
      </c>
      <c r="L531" t="s">
        <v>74</v>
      </c>
      <c r="M531" t="s">
        <v>77</v>
      </c>
      <c r="N531" t="s">
        <v>78</v>
      </c>
      <c r="O531" t="s">
        <v>74</v>
      </c>
      <c r="P531" t="s">
        <v>74</v>
      </c>
      <c r="Q531" t="s">
        <v>74</v>
      </c>
      <c r="R531" t="s">
        <v>74</v>
      </c>
      <c r="S531" t="s">
        <v>74</v>
      </c>
      <c r="T531" t="s">
        <v>8341</v>
      </c>
      <c r="U531" t="s">
        <v>8342</v>
      </c>
      <c r="V531" t="s">
        <v>8343</v>
      </c>
      <c r="W531" t="s">
        <v>8344</v>
      </c>
      <c r="X531" t="s">
        <v>8345</v>
      </c>
      <c r="Y531" t="s">
        <v>8346</v>
      </c>
      <c r="Z531" t="s">
        <v>8347</v>
      </c>
      <c r="AA531" t="s">
        <v>8348</v>
      </c>
      <c r="AB531" t="s">
        <v>8349</v>
      </c>
      <c r="AC531" t="s">
        <v>74</v>
      </c>
      <c r="AD531" t="s">
        <v>74</v>
      </c>
      <c r="AE531" t="s">
        <v>74</v>
      </c>
      <c r="AF531" t="s">
        <v>74</v>
      </c>
      <c r="AG531">
        <v>27</v>
      </c>
      <c r="AH531">
        <v>40</v>
      </c>
      <c r="AI531">
        <v>41</v>
      </c>
      <c r="AJ531">
        <v>0</v>
      </c>
      <c r="AK531">
        <v>31</v>
      </c>
      <c r="AL531" t="s">
        <v>1147</v>
      </c>
      <c r="AM531" t="s">
        <v>1148</v>
      </c>
      <c r="AN531" t="s">
        <v>1149</v>
      </c>
      <c r="AO531" t="s">
        <v>8350</v>
      </c>
      <c r="AP531" t="s">
        <v>74</v>
      </c>
      <c r="AQ531" t="s">
        <v>74</v>
      </c>
      <c r="AR531" t="s">
        <v>8351</v>
      </c>
      <c r="AS531" t="s">
        <v>8352</v>
      </c>
      <c r="AT531" t="s">
        <v>8295</v>
      </c>
      <c r="AU531">
        <v>2005</v>
      </c>
      <c r="AV531">
        <v>70</v>
      </c>
      <c r="AW531">
        <v>3</v>
      </c>
      <c r="AX531" t="s">
        <v>74</v>
      </c>
      <c r="AY531" t="s">
        <v>74</v>
      </c>
      <c r="AZ531" t="s">
        <v>74</v>
      </c>
      <c r="BA531" t="s">
        <v>74</v>
      </c>
      <c r="BB531">
        <v>264</v>
      </c>
      <c r="BC531">
        <v>270</v>
      </c>
      <c r="BD531" t="s">
        <v>74</v>
      </c>
      <c r="BE531" t="s">
        <v>8353</v>
      </c>
      <c r="BF531" t="str">
        <f>HYPERLINK("http://dx.doi.org/10.1016/j.beproc.2005.07.005","http://dx.doi.org/10.1016/j.beproc.2005.07.005")</f>
        <v>http://dx.doi.org/10.1016/j.beproc.2005.07.005</v>
      </c>
      <c r="BG531" t="s">
        <v>74</v>
      </c>
      <c r="BH531" t="s">
        <v>74</v>
      </c>
      <c r="BI531">
        <v>7</v>
      </c>
      <c r="BJ531" t="s">
        <v>8354</v>
      </c>
      <c r="BK531" t="s">
        <v>1389</v>
      </c>
      <c r="BL531" t="s">
        <v>8355</v>
      </c>
      <c r="BM531" t="s">
        <v>8356</v>
      </c>
      <c r="BN531">
        <v>16144746</v>
      </c>
      <c r="BO531" t="s">
        <v>74</v>
      </c>
      <c r="BP531" t="s">
        <v>74</v>
      </c>
      <c r="BQ531" t="s">
        <v>74</v>
      </c>
      <c r="BR531" t="s">
        <v>101</v>
      </c>
      <c r="BS531" t="s">
        <v>8357</v>
      </c>
      <c r="BT531" t="str">
        <f>HYPERLINK("https%3A%2F%2Fwww.webofscience.com%2Fwos%2Fwoscc%2Ffull-record%2FWOS:000232840600005","View Full Record in Web of Science")</f>
        <v>View Full Record in Web of Science</v>
      </c>
    </row>
    <row r="532" spans="1:72" x14ac:dyDescent="0.15">
      <c r="A532" t="s">
        <v>72</v>
      </c>
      <c r="B532" t="s">
        <v>8358</v>
      </c>
      <c r="C532" t="s">
        <v>74</v>
      </c>
      <c r="D532" t="s">
        <v>74</v>
      </c>
      <c r="E532" t="s">
        <v>74</v>
      </c>
      <c r="F532" t="s">
        <v>8358</v>
      </c>
      <c r="G532" t="s">
        <v>74</v>
      </c>
      <c r="H532" t="s">
        <v>74</v>
      </c>
      <c r="I532" t="s">
        <v>8359</v>
      </c>
      <c r="J532" t="s">
        <v>8360</v>
      </c>
      <c r="K532" t="s">
        <v>74</v>
      </c>
      <c r="L532" t="s">
        <v>74</v>
      </c>
      <c r="M532" t="s">
        <v>77</v>
      </c>
      <c r="N532" t="s">
        <v>78</v>
      </c>
      <c r="O532" t="s">
        <v>74</v>
      </c>
      <c r="P532" t="s">
        <v>74</v>
      </c>
      <c r="Q532" t="s">
        <v>74</v>
      </c>
      <c r="R532" t="s">
        <v>74</v>
      </c>
      <c r="S532" t="s">
        <v>74</v>
      </c>
      <c r="T532" t="s">
        <v>8361</v>
      </c>
      <c r="U532" t="s">
        <v>8362</v>
      </c>
      <c r="V532" t="s">
        <v>8363</v>
      </c>
      <c r="W532" t="s">
        <v>8364</v>
      </c>
      <c r="X532" t="s">
        <v>8365</v>
      </c>
      <c r="Y532" t="s">
        <v>8366</v>
      </c>
      <c r="Z532" t="s">
        <v>8367</v>
      </c>
      <c r="AA532" t="s">
        <v>8368</v>
      </c>
      <c r="AB532" t="s">
        <v>8369</v>
      </c>
      <c r="AC532" t="s">
        <v>74</v>
      </c>
      <c r="AD532" t="s">
        <v>74</v>
      </c>
      <c r="AE532" t="s">
        <v>74</v>
      </c>
      <c r="AF532" t="s">
        <v>74</v>
      </c>
      <c r="AG532">
        <v>36</v>
      </c>
      <c r="AH532">
        <v>7</v>
      </c>
      <c r="AI532">
        <v>10</v>
      </c>
      <c r="AJ532">
        <v>0</v>
      </c>
      <c r="AK532">
        <v>12</v>
      </c>
      <c r="AL532" t="s">
        <v>88</v>
      </c>
      <c r="AM532" t="s">
        <v>89</v>
      </c>
      <c r="AN532" t="s">
        <v>3984</v>
      </c>
      <c r="AO532" t="s">
        <v>8370</v>
      </c>
      <c r="AP532" t="s">
        <v>8371</v>
      </c>
      <c r="AQ532" t="s">
        <v>74</v>
      </c>
      <c r="AR532" t="s">
        <v>8372</v>
      </c>
      <c r="AS532" t="s">
        <v>8373</v>
      </c>
      <c r="AT532" t="s">
        <v>7971</v>
      </c>
      <c r="AU532">
        <v>2005</v>
      </c>
      <c r="AV532">
        <v>42</v>
      </c>
      <c r="AW532">
        <v>1</v>
      </c>
      <c r="AX532" t="s">
        <v>74</v>
      </c>
      <c r="AY532" t="s">
        <v>74</v>
      </c>
      <c r="AZ532" t="s">
        <v>74</v>
      </c>
      <c r="BA532" t="s">
        <v>74</v>
      </c>
      <c r="BB532">
        <v>60</v>
      </c>
      <c r="BC532">
        <v>65</v>
      </c>
      <c r="BD532" t="s">
        <v>74</v>
      </c>
      <c r="BE532" t="s">
        <v>8374</v>
      </c>
      <c r="BF532" t="str">
        <f>HYPERLINK("http://dx.doi.org/10.1007/s00374-005-0861-8","http://dx.doi.org/10.1007/s00374-005-0861-8")</f>
        <v>http://dx.doi.org/10.1007/s00374-005-0861-8</v>
      </c>
      <c r="BG532" t="s">
        <v>74</v>
      </c>
      <c r="BH532" t="s">
        <v>74</v>
      </c>
      <c r="BI532">
        <v>6</v>
      </c>
      <c r="BJ532" t="s">
        <v>7198</v>
      </c>
      <c r="BK532" t="s">
        <v>98</v>
      </c>
      <c r="BL532" t="s">
        <v>7199</v>
      </c>
      <c r="BM532" t="s">
        <v>8375</v>
      </c>
      <c r="BN532" t="s">
        <v>74</v>
      </c>
      <c r="BO532" t="s">
        <v>74</v>
      </c>
      <c r="BP532" t="s">
        <v>74</v>
      </c>
      <c r="BQ532" t="s">
        <v>74</v>
      </c>
      <c r="BR532" t="s">
        <v>101</v>
      </c>
      <c r="BS532" t="s">
        <v>8376</v>
      </c>
      <c r="BT532" t="str">
        <f>HYPERLINK("https%3A%2F%2Fwww.webofscience.com%2Fwos%2Fwoscc%2Ffull-record%2FWOS:000232277500009","View Full Record in Web of Science")</f>
        <v>View Full Record in Web of Science</v>
      </c>
    </row>
    <row r="533" spans="1:72" x14ac:dyDescent="0.15">
      <c r="A533" t="s">
        <v>72</v>
      </c>
      <c r="B533" t="s">
        <v>8377</v>
      </c>
      <c r="C533" t="s">
        <v>74</v>
      </c>
      <c r="D533" t="s">
        <v>74</v>
      </c>
      <c r="E533" t="s">
        <v>74</v>
      </c>
      <c r="F533" t="s">
        <v>8377</v>
      </c>
      <c r="G533" t="s">
        <v>74</v>
      </c>
      <c r="H533" t="s">
        <v>74</v>
      </c>
      <c r="I533" t="s">
        <v>8378</v>
      </c>
      <c r="J533" t="s">
        <v>8379</v>
      </c>
      <c r="K533" t="s">
        <v>74</v>
      </c>
      <c r="L533" t="s">
        <v>74</v>
      </c>
      <c r="M533" t="s">
        <v>77</v>
      </c>
      <c r="N533" t="s">
        <v>78</v>
      </c>
      <c r="O533" t="s">
        <v>74</v>
      </c>
      <c r="P533" t="s">
        <v>74</v>
      </c>
      <c r="Q533" t="s">
        <v>74</v>
      </c>
      <c r="R533" t="s">
        <v>74</v>
      </c>
      <c r="S533" t="s">
        <v>74</v>
      </c>
      <c r="T533" t="s">
        <v>8380</v>
      </c>
      <c r="U533" t="s">
        <v>8381</v>
      </c>
      <c r="V533" t="s">
        <v>8382</v>
      </c>
      <c r="W533" t="s">
        <v>8383</v>
      </c>
      <c r="X533" t="s">
        <v>8384</v>
      </c>
      <c r="Y533" t="s">
        <v>8385</v>
      </c>
      <c r="Z533" t="s">
        <v>8386</v>
      </c>
      <c r="AA533" t="s">
        <v>74</v>
      </c>
      <c r="AB533" t="s">
        <v>74</v>
      </c>
      <c r="AC533" t="s">
        <v>74</v>
      </c>
      <c r="AD533" t="s">
        <v>74</v>
      </c>
      <c r="AE533" t="s">
        <v>74</v>
      </c>
      <c r="AF533" t="s">
        <v>74</v>
      </c>
      <c r="AG533">
        <v>33</v>
      </c>
      <c r="AH533">
        <v>15</v>
      </c>
      <c r="AI533">
        <v>16</v>
      </c>
      <c r="AJ533">
        <v>0</v>
      </c>
      <c r="AK533">
        <v>7</v>
      </c>
      <c r="AL533" t="s">
        <v>348</v>
      </c>
      <c r="AM533" t="s">
        <v>349</v>
      </c>
      <c r="AN533" t="s">
        <v>1523</v>
      </c>
      <c r="AO533" t="s">
        <v>8387</v>
      </c>
      <c r="AP533" t="s">
        <v>8388</v>
      </c>
      <c r="AQ533" t="s">
        <v>74</v>
      </c>
      <c r="AR533" t="s">
        <v>8389</v>
      </c>
      <c r="AS533" t="s">
        <v>8390</v>
      </c>
      <c r="AT533" t="s">
        <v>7971</v>
      </c>
      <c r="AU533">
        <v>2005</v>
      </c>
      <c r="AV533">
        <v>69</v>
      </c>
      <c r="AW533">
        <v>11</v>
      </c>
      <c r="AX533" t="s">
        <v>74</v>
      </c>
      <c r="AY533" t="s">
        <v>74</v>
      </c>
      <c r="AZ533" t="s">
        <v>74</v>
      </c>
      <c r="BA533" t="s">
        <v>74</v>
      </c>
      <c r="BB533">
        <v>2146</v>
      </c>
      <c r="BC533">
        <v>2154</v>
      </c>
      <c r="BD533" t="s">
        <v>74</v>
      </c>
      <c r="BE533" t="s">
        <v>8391</v>
      </c>
      <c r="BF533" t="str">
        <f>HYPERLINK("http://dx.doi.org/10.1271/bbb.69.2146","http://dx.doi.org/10.1271/bbb.69.2146")</f>
        <v>http://dx.doi.org/10.1271/bbb.69.2146</v>
      </c>
      <c r="BG533" t="s">
        <v>74</v>
      </c>
      <c r="BH533" t="s">
        <v>74</v>
      </c>
      <c r="BI533">
        <v>9</v>
      </c>
      <c r="BJ533" t="s">
        <v>8392</v>
      </c>
      <c r="BK533" t="s">
        <v>98</v>
      </c>
      <c r="BL533" t="s">
        <v>8393</v>
      </c>
      <c r="BM533" t="s">
        <v>8394</v>
      </c>
      <c r="BN533">
        <v>16306697</v>
      </c>
      <c r="BO533" t="s">
        <v>1900</v>
      </c>
      <c r="BP533" t="s">
        <v>74</v>
      </c>
      <c r="BQ533" t="s">
        <v>74</v>
      </c>
      <c r="BR533" t="s">
        <v>101</v>
      </c>
      <c r="BS533" t="s">
        <v>8395</v>
      </c>
      <c r="BT533" t="str">
        <f>HYPERLINK("https%3A%2F%2Fwww.webofscience.com%2Fwos%2Fwoscc%2Ffull-record%2FWOS:000233710900017","View Full Record in Web of Science")</f>
        <v>View Full Record in Web of Science</v>
      </c>
    </row>
    <row r="534" spans="1:72" x14ac:dyDescent="0.15">
      <c r="A534" t="s">
        <v>72</v>
      </c>
      <c r="B534" t="s">
        <v>8396</v>
      </c>
      <c r="C534" t="s">
        <v>74</v>
      </c>
      <c r="D534" t="s">
        <v>74</v>
      </c>
      <c r="E534" t="s">
        <v>74</v>
      </c>
      <c r="F534" t="s">
        <v>8396</v>
      </c>
      <c r="G534" t="s">
        <v>74</v>
      </c>
      <c r="H534" t="s">
        <v>74</v>
      </c>
      <c r="I534" t="s">
        <v>8397</v>
      </c>
      <c r="J534" t="s">
        <v>5963</v>
      </c>
      <c r="K534" t="s">
        <v>74</v>
      </c>
      <c r="L534" t="s">
        <v>74</v>
      </c>
      <c r="M534" t="s">
        <v>77</v>
      </c>
      <c r="N534" t="s">
        <v>78</v>
      </c>
      <c r="O534" t="s">
        <v>74</v>
      </c>
      <c r="P534" t="s">
        <v>74</v>
      </c>
      <c r="Q534" t="s">
        <v>74</v>
      </c>
      <c r="R534" t="s">
        <v>74</v>
      </c>
      <c r="S534" t="s">
        <v>74</v>
      </c>
      <c r="T534" t="s">
        <v>74</v>
      </c>
      <c r="U534" t="s">
        <v>8398</v>
      </c>
      <c r="V534" t="s">
        <v>8399</v>
      </c>
      <c r="W534" t="s">
        <v>801</v>
      </c>
      <c r="X534" t="s">
        <v>788</v>
      </c>
      <c r="Y534" t="s">
        <v>3055</v>
      </c>
      <c r="Z534" t="s">
        <v>8400</v>
      </c>
      <c r="AA534" t="s">
        <v>8401</v>
      </c>
      <c r="AB534" t="s">
        <v>74</v>
      </c>
      <c r="AC534" t="s">
        <v>74</v>
      </c>
      <c r="AD534" t="s">
        <v>74</v>
      </c>
      <c r="AE534" t="s">
        <v>74</v>
      </c>
      <c r="AF534" t="s">
        <v>74</v>
      </c>
      <c r="AG534">
        <v>46</v>
      </c>
      <c r="AH534">
        <v>23</v>
      </c>
      <c r="AI534">
        <v>24</v>
      </c>
      <c r="AJ534">
        <v>0</v>
      </c>
      <c r="AK534">
        <v>6</v>
      </c>
      <c r="AL534" t="s">
        <v>8402</v>
      </c>
      <c r="AM534" t="s">
        <v>5971</v>
      </c>
      <c r="AN534" t="s">
        <v>8403</v>
      </c>
      <c r="AO534" t="s">
        <v>5973</v>
      </c>
      <c r="AP534" t="s">
        <v>8404</v>
      </c>
      <c r="AQ534" t="s">
        <v>74</v>
      </c>
      <c r="AR534" t="s">
        <v>5974</v>
      </c>
      <c r="AS534" t="s">
        <v>5975</v>
      </c>
      <c r="AT534" t="s">
        <v>7971</v>
      </c>
      <c r="AU534">
        <v>2005</v>
      </c>
      <c r="AV534">
        <v>62</v>
      </c>
      <c r="AW534">
        <v>11</v>
      </c>
      <c r="AX534" t="s">
        <v>74</v>
      </c>
      <c r="AY534" t="s">
        <v>74</v>
      </c>
      <c r="AZ534" t="s">
        <v>74</v>
      </c>
      <c r="BA534" t="s">
        <v>74</v>
      </c>
      <c r="BB534">
        <v>2530</v>
      </c>
      <c r="BC534">
        <v>2537</v>
      </c>
      <c r="BD534" t="s">
        <v>74</v>
      </c>
      <c r="BE534" t="s">
        <v>8405</v>
      </c>
      <c r="BF534" t="str">
        <f>HYPERLINK("http://dx.doi.org/10.1139/F05-157","http://dx.doi.org/10.1139/F05-157")</f>
        <v>http://dx.doi.org/10.1139/F05-157</v>
      </c>
      <c r="BG534" t="s">
        <v>74</v>
      </c>
      <c r="BH534" t="s">
        <v>74</v>
      </c>
      <c r="BI534">
        <v>8</v>
      </c>
      <c r="BJ534" t="s">
        <v>5977</v>
      </c>
      <c r="BK534" t="s">
        <v>98</v>
      </c>
      <c r="BL534" t="s">
        <v>5977</v>
      </c>
      <c r="BM534" t="s">
        <v>8406</v>
      </c>
      <c r="BN534" t="s">
        <v>74</v>
      </c>
      <c r="BO534" t="s">
        <v>74</v>
      </c>
      <c r="BP534" t="s">
        <v>74</v>
      </c>
      <c r="BQ534" t="s">
        <v>74</v>
      </c>
      <c r="BR534" t="s">
        <v>101</v>
      </c>
      <c r="BS534" t="s">
        <v>8407</v>
      </c>
      <c r="BT534" t="str">
        <f>HYPERLINK("https%3A%2F%2Fwww.webofscience.com%2Fwos%2Fwoscc%2Ffull-record%2FWOS:000233798300012","View Full Record in Web of Science")</f>
        <v>View Full Record in Web of Science</v>
      </c>
    </row>
    <row r="535" spans="1:72" x14ac:dyDescent="0.15">
      <c r="A535" t="s">
        <v>72</v>
      </c>
      <c r="B535" t="s">
        <v>8408</v>
      </c>
      <c r="C535" t="s">
        <v>74</v>
      </c>
      <c r="D535" t="s">
        <v>74</v>
      </c>
      <c r="E535" t="s">
        <v>74</v>
      </c>
      <c r="F535" t="s">
        <v>8408</v>
      </c>
      <c r="G535" t="s">
        <v>74</v>
      </c>
      <c r="H535" t="s">
        <v>74</v>
      </c>
      <c r="I535" t="s">
        <v>8409</v>
      </c>
      <c r="J535" t="s">
        <v>8410</v>
      </c>
      <c r="K535" t="s">
        <v>74</v>
      </c>
      <c r="L535" t="s">
        <v>74</v>
      </c>
      <c r="M535" t="s">
        <v>77</v>
      </c>
      <c r="N535" t="s">
        <v>2361</v>
      </c>
      <c r="O535" t="s">
        <v>74</v>
      </c>
      <c r="P535" t="s">
        <v>74</v>
      </c>
      <c r="Q535" t="s">
        <v>74</v>
      </c>
      <c r="R535" t="s">
        <v>74</v>
      </c>
      <c r="S535" t="s">
        <v>74</v>
      </c>
      <c r="T535" t="s">
        <v>74</v>
      </c>
      <c r="U535" t="s">
        <v>74</v>
      </c>
      <c r="V535" t="s">
        <v>74</v>
      </c>
      <c r="W535" t="s">
        <v>4482</v>
      </c>
      <c r="X535" t="s">
        <v>788</v>
      </c>
      <c r="Y535" t="s">
        <v>8411</v>
      </c>
      <c r="Z535" t="s">
        <v>74</v>
      </c>
      <c r="AA535" t="s">
        <v>5804</v>
      </c>
      <c r="AB535" t="s">
        <v>5805</v>
      </c>
      <c r="AC535" t="s">
        <v>74</v>
      </c>
      <c r="AD535" t="s">
        <v>74</v>
      </c>
      <c r="AE535" t="s">
        <v>74</v>
      </c>
      <c r="AF535" t="s">
        <v>74</v>
      </c>
      <c r="AG535">
        <v>0</v>
      </c>
      <c r="AH535">
        <v>0</v>
      </c>
      <c r="AI535">
        <v>0</v>
      </c>
      <c r="AJ535">
        <v>0</v>
      </c>
      <c r="AK535">
        <v>1</v>
      </c>
      <c r="AL535" t="s">
        <v>2110</v>
      </c>
      <c r="AM535" t="s">
        <v>2111</v>
      </c>
      <c r="AN535" t="s">
        <v>2112</v>
      </c>
      <c r="AO535" t="s">
        <v>8412</v>
      </c>
      <c r="AP535" t="s">
        <v>74</v>
      </c>
      <c r="AQ535" t="s">
        <v>74</v>
      </c>
      <c r="AR535" t="s">
        <v>8413</v>
      </c>
      <c r="AS535" t="s">
        <v>8414</v>
      </c>
      <c r="AT535" t="s">
        <v>7971</v>
      </c>
      <c r="AU535">
        <v>2005</v>
      </c>
      <c r="AV535">
        <v>2</v>
      </c>
      <c r="AW535">
        <v>11</v>
      </c>
      <c r="AX535" t="s">
        <v>74</v>
      </c>
      <c r="AY535" t="s">
        <v>74</v>
      </c>
      <c r="AZ535" t="s">
        <v>74</v>
      </c>
      <c r="BA535" t="s">
        <v>74</v>
      </c>
      <c r="BB535">
        <v>32</v>
      </c>
      <c r="BC535">
        <v>32</v>
      </c>
      <c r="BD535" t="s">
        <v>74</v>
      </c>
      <c r="BE535" t="s">
        <v>74</v>
      </c>
      <c r="BF535" t="s">
        <v>74</v>
      </c>
      <c r="BG535" t="s">
        <v>74</v>
      </c>
      <c r="BH535" t="s">
        <v>74</v>
      </c>
      <c r="BI535">
        <v>1</v>
      </c>
      <c r="BJ535" t="s">
        <v>4757</v>
      </c>
      <c r="BK535" t="s">
        <v>98</v>
      </c>
      <c r="BL535" t="s">
        <v>3291</v>
      </c>
      <c r="BM535" t="s">
        <v>8415</v>
      </c>
      <c r="BN535" t="s">
        <v>74</v>
      </c>
      <c r="BO535" t="s">
        <v>74</v>
      </c>
      <c r="BP535" t="s">
        <v>74</v>
      </c>
      <c r="BQ535" t="s">
        <v>74</v>
      </c>
      <c r="BR535" t="s">
        <v>101</v>
      </c>
      <c r="BS535" t="s">
        <v>8416</v>
      </c>
      <c r="BT535" t="str">
        <f>HYPERLINK("https%3A%2F%2Fwww.webofscience.com%2Fwos%2Fwoscc%2Ffull-record%2FWOS:000233231200054","View Full Record in Web of Science")</f>
        <v>View Full Record in Web of Science</v>
      </c>
    </row>
    <row r="536" spans="1:72" x14ac:dyDescent="0.15">
      <c r="A536" t="s">
        <v>72</v>
      </c>
      <c r="B536" t="s">
        <v>8417</v>
      </c>
      <c r="C536" t="s">
        <v>74</v>
      </c>
      <c r="D536" t="s">
        <v>74</v>
      </c>
      <c r="E536" t="s">
        <v>74</v>
      </c>
      <c r="F536" t="s">
        <v>8417</v>
      </c>
      <c r="G536" t="s">
        <v>74</v>
      </c>
      <c r="H536" t="s">
        <v>74</v>
      </c>
      <c r="I536" t="s">
        <v>8418</v>
      </c>
      <c r="J536" t="s">
        <v>615</v>
      </c>
      <c r="K536" t="s">
        <v>74</v>
      </c>
      <c r="L536" t="s">
        <v>74</v>
      </c>
      <c r="M536" t="s">
        <v>77</v>
      </c>
      <c r="N536" t="s">
        <v>78</v>
      </c>
      <c r="O536" t="s">
        <v>74</v>
      </c>
      <c r="P536" t="s">
        <v>74</v>
      </c>
      <c r="Q536" t="s">
        <v>74</v>
      </c>
      <c r="R536" t="s">
        <v>74</v>
      </c>
      <c r="S536" t="s">
        <v>74</v>
      </c>
      <c r="T536" t="s">
        <v>8419</v>
      </c>
      <c r="U536" t="s">
        <v>8420</v>
      </c>
      <c r="V536" t="s">
        <v>8421</v>
      </c>
      <c r="W536" t="s">
        <v>8422</v>
      </c>
      <c r="X536" t="s">
        <v>8423</v>
      </c>
      <c r="Y536" t="s">
        <v>8424</v>
      </c>
      <c r="Z536" t="s">
        <v>8425</v>
      </c>
      <c r="AA536" t="s">
        <v>74</v>
      </c>
      <c r="AB536" t="s">
        <v>74</v>
      </c>
      <c r="AC536" t="s">
        <v>74</v>
      </c>
      <c r="AD536" t="s">
        <v>74</v>
      </c>
      <c r="AE536" t="s">
        <v>74</v>
      </c>
      <c r="AF536" t="s">
        <v>74</v>
      </c>
      <c r="AG536">
        <v>59</v>
      </c>
      <c r="AH536">
        <v>22</v>
      </c>
      <c r="AI536">
        <v>24</v>
      </c>
      <c r="AJ536">
        <v>1</v>
      </c>
      <c r="AK536">
        <v>31</v>
      </c>
      <c r="AL536" t="s">
        <v>622</v>
      </c>
      <c r="AM536" t="s">
        <v>140</v>
      </c>
      <c r="AN536" t="s">
        <v>623</v>
      </c>
      <c r="AO536" t="s">
        <v>624</v>
      </c>
      <c r="AP536" t="s">
        <v>625</v>
      </c>
      <c r="AQ536" t="s">
        <v>74</v>
      </c>
      <c r="AR536" t="s">
        <v>626</v>
      </c>
      <c r="AS536" t="s">
        <v>627</v>
      </c>
      <c r="AT536" t="s">
        <v>7971</v>
      </c>
      <c r="AU536">
        <v>2005</v>
      </c>
      <c r="AV536">
        <v>52</v>
      </c>
      <c r="AW536">
        <v>11</v>
      </c>
      <c r="AX536" t="s">
        <v>74</v>
      </c>
      <c r="AY536" t="s">
        <v>74</v>
      </c>
      <c r="AZ536" t="s">
        <v>74</v>
      </c>
      <c r="BA536" t="s">
        <v>74</v>
      </c>
      <c r="BB536">
        <v>2086</v>
      </c>
      <c r="BC536">
        <v>2108</v>
      </c>
      <c r="BD536" t="s">
        <v>74</v>
      </c>
      <c r="BE536" t="s">
        <v>8426</v>
      </c>
      <c r="BF536" t="str">
        <f>HYPERLINK("http://dx.doi.org/10.1016/j.dsr.2005.06.010","http://dx.doi.org/10.1016/j.dsr.2005.06.010")</f>
        <v>http://dx.doi.org/10.1016/j.dsr.2005.06.010</v>
      </c>
      <c r="BG536" t="s">
        <v>74</v>
      </c>
      <c r="BH536" t="s">
        <v>74</v>
      </c>
      <c r="BI536">
        <v>23</v>
      </c>
      <c r="BJ536" t="s">
        <v>629</v>
      </c>
      <c r="BK536" t="s">
        <v>98</v>
      </c>
      <c r="BL536" t="s">
        <v>629</v>
      </c>
      <c r="BM536" t="s">
        <v>8427</v>
      </c>
      <c r="BN536" t="s">
        <v>74</v>
      </c>
      <c r="BO536" t="s">
        <v>74</v>
      </c>
      <c r="BP536" t="s">
        <v>74</v>
      </c>
      <c r="BQ536" t="s">
        <v>74</v>
      </c>
      <c r="BR536" t="s">
        <v>101</v>
      </c>
      <c r="BS536" t="s">
        <v>8428</v>
      </c>
      <c r="BT536" t="str">
        <f>HYPERLINK("https%3A%2F%2Fwww.webofscience.com%2Fwos%2Fwoscc%2Ffull-record%2FWOS:000232847500008","View Full Record in Web of Science")</f>
        <v>View Full Record in Web of Science</v>
      </c>
    </row>
    <row r="537" spans="1:72" x14ac:dyDescent="0.15">
      <c r="A537" t="s">
        <v>72</v>
      </c>
      <c r="B537" t="s">
        <v>8429</v>
      </c>
      <c r="C537" t="s">
        <v>74</v>
      </c>
      <c r="D537" t="s">
        <v>74</v>
      </c>
      <c r="E537" t="s">
        <v>74</v>
      </c>
      <c r="F537" t="s">
        <v>8429</v>
      </c>
      <c r="G537" t="s">
        <v>74</v>
      </c>
      <c r="H537" t="s">
        <v>74</v>
      </c>
      <c r="I537" t="s">
        <v>8430</v>
      </c>
      <c r="J537" t="s">
        <v>615</v>
      </c>
      <c r="K537" t="s">
        <v>74</v>
      </c>
      <c r="L537" t="s">
        <v>74</v>
      </c>
      <c r="M537" t="s">
        <v>77</v>
      </c>
      <c r="N537" t="s">
        <v>78</v>
      </c>
      <c r="O537" t="s">
        <v>74</v>
      </c>
      <c r="P537" t="s">
        <v>74</v>
      </c>
      <c r="Q537" t="s">
        <v>74</v>
      </c>
      <c r="R537" t="s">
        <v>74</v>
      </c>
      <c r="S537" t="s">
        <v>74</v>
      </c>
      <c r="T537" t="s">
        <v>8431</v>
      </c>
      <c r="U537" t="s">
        <v>8432</v>
      </c>
      <c r="V537" t="s">
        <v>8433</v>
      </c>
      <c r="W537" t="s">
        <v>8434</v>
      </c>
      <c r="X537" t="s">
        <v>4405</v>
      </c>
      <c r="Y537" t="s">
        <v>8435</v>
      </c>
      <c r="Z537" t="s">
        <v>8436</v>
      </c>
      <c r="AA537" t="s">
        <v>74</v>
      </c>
      <c r="AB537" t="s">
        <v>74</v>
      </c>
      <c r="AC537" t="s">
        <v>74</v>
      </c>
      <c r="AD537" t="s">
        <v>74</v>
      </c>
      <c r="AE537" t="s">
        <v>74</v>
      </c>
      <c r="AF537" t="s">
        <v>74</v>
      </c>
      <c r="AG537">
        <v>51</v>
      </c>
      <c r="AH537">
        <v>13</v>
      </c>
      <c r="AI537">
        <v>14</v>
      </c>
      <c r="AJ537">
        <v>0</v>
      </c>
      <c r="AK537">
        <v>7</v>
      </c>
      <c r="AL537" t="s">
        <v>622</v>
      </c>
      <c r="AM537" t="s">
        <v>140</v>
      </c>
      <c r="AN537" t="s">
        <v>623</v>
      </c>
      <c r="AO537" t="s">
        <v>624</v>
      </c>
      <c r="AP537" t="s">
        <v>625</v>
      </c>
      <c r="AQ537" t="s">
        <v>74</v>
      </c>
      <c r="AR537" t="s">
        <v>626</v>
      </c>
      <c r="AS537" t="s">
        <v>627</v>
      </c>
      <c r="AT537" t="s">
        <v>7971</v>
      </c>
      <c r="AU537">
        <v>2005</v>
      </c>
      <c r="AV537">
        <v>52</v>
      </c>
      <c r="AW537">
        <v>11</v>
      </c>
      <c r="AX537" t="s">
        <v>74</v>
      </c>
      <c r="AY537" t="s">
        <v>74</v>
      </c>
      <c r="AZ537" t="s">
        <v>74</v>
      </c>
      <c r="BA537" t="s">
        <v>74</v>
      </c>
      <c r="BB537">
        <v>2140</v>
      </c>
      <c r="BC537">
        <v>2155</v>
      </c>
      <c r="BD537" t="s">
        <v>74</v>
      </c>
      <c r="BE537" t="s">
        <v>8437</v>
      </c>
      <c r="BF537" t="str">
        <f>HYPERLINK("http://dx.doi.org/10.1016/j.dsr.2005.06.008","http://dx.doi.org/10.1016/j.dsr.2005.06.008")</f>
        <v>http://dx.doi.org/10.1016/j.dsr.2005.06.008</v>
      </c>
      <c r="BG537" t="s">
        <v>74</v>
      </c>
      <c r="BH537" t="s">
        <v>74</v>
      </c>
      <c r="BI537">
        <v>16</v>
      </c>
      <c r="BJ537" t="s">
        <v>629</v>
      </c>
      <c r="BK537" t="s">
        <v>98</v>
      </c>
      <c r="BL537" t="s">
        <v>629</v>
      </c>
      <c r="BM537" t="s">
        <v>8427</v>
      </c>
      <c r="BN537" t="s">
        <v>74</v>
      </c>
      <c r="BO537" t="s">
        <v>74</v>
      </c>
      <c r="BP537" t="s">
        <v>74</v>
      </c>
      <c r="BQ537" t="s">
        <v>74</v>
      </c>
      <c r="BR537" t="s">
        <v>101</v>
      </c>
      <c r="BS537" t="s">
        <v>8438</v>
      </c>
      <c r="BT537" t="str">
        <f>HYPERLINK("https%3A%2F%2Fwww.webofscience.com%2Fwos%2Fwoscc%2Ffull-record%2FWOS:000232847500010","View Full Record in Web of Science")</f>
        <v>View Full Record in Web of Science</v>
      </c>
    </row>
    <row r="538" spans="1:72" x14ac:dyDescent="0.15">
      <c r="A538" t="s">
        <v>72</v>
      </c>
      <c r="B538" t="s">
        <v>8439</v>
      </c>
      <c r="C538" t="s">
        <v>74</v>
      </c>
      <c r="D538" t="s">
        <v>74</v>
      </c>
      <c r="E538" t="s">
        <v>74</v>
      </c>
      <c r="F538" t="s">
        <v>8439</v>
      </c>
      <c r="G538" t="s">
        <v>74</v>
      </c>
      <c r="H538" t="s">
        <v>74</v>
      </c>
      <c r="I538" t="s">
        <v>8440</v>
      </c>
      <c r="J538" t="s">
        <v>615</v>
      </c>
      <c r="K538" t="s">
        <v>74</v>
      </c>
      <c r="L538" t="s">
        <v>74</v>
      </c>
      <c r="M538" t="s">
        <v>77</v>
      </c>
      <c r="N538" t="s">
        <v>3466</v>
      </c>
      <c r="O538" t="s">
        <v>74</v>
      </c>
      <c r="P538" t="s">
        <v>74</v>
      </c>
      <c r="Q538" t="s">
        <v>74</v>
      </c>
      <c r="R538" t="s">
        <v>74</v>
      </c>
      <c r="S538" t="s">
        <v>74</v>
      </c>
      <c r="T538" t="s">
        <v>74</v>
      </c>
      <c r="U538" t="s">
        <v>74</v>
      </c>
      <c r="V538" t="s">
        <v>74</v>
      </c>
      <c r="W538" t="s">
        <v>8441</v>
      </c>
      <c r="X538" t="s">
        <v>8442</v>
      </c>
      <c r="Y538" t="s">
        <v>8443</v>
      </c>
      <c r="Z538" t="s">
        <v>8444</v>
      </c>
      <c r="AA538" t="s">
        <v>8445</v>
      </c>
      <c r="AB538" t="s">
        <v>8446</v>
      </c>
      <c r="AC538" t="s">
        <v>74</v>
      </c>
      <c r="AD538" t="s">
        <v>74</v>
      </c>
      <c r="AE538" t="s">
        <v>74</v>
      </c>
      <c r="AF538" t="s">
        <v>74</v>
      </c>
      <c r="AG538">
        <v>1</v>
      </c>
      <c r="AH538">
        <v>0</v>
      </c>
      <c r="AI538">
        <v>1</v>
      </c>
      <c r="AJ538">
        <v>0</v>
      </c>
      <c r="AK538">
        <v>4</v>
      </c>
      <c r="AL538" t="s">
        <v>622</v>
      </c>
      <c r="AM538" t="s">
        <v>140</v>
      </c>
      <c r="AN538" t="s">
        <v>623</v>
      </c>
      <c r="AO538" t="s">
        <v>624</v>
      </c>
      <c r="AP538" t="s">
        <v>74</v>
      </c>
      <c r="AQ538" t="s">
        <v>74</v>
      </c>
      <c r="AR538" t="s">
        <v>626</v>
      </c>
      <c r="AS538" t="s">
        <v>627</v>
      </c>
      <c r="AT538" t="s">
        <v>7971</v>
      </c>
      <c r="AU538">
        <v>2005</v>
      </c>
      <c r="AV538">
        <v>52</v>
      </c>
      <c r="AW538">
        <v>11</v>
      </c>
      <c r="AX538" t="s">
        <v>74</v>
      </c>
      <c r="AY538" t="s">
        <v>74</v>
      </c>
      <c r="AZ538" t="s">
        <v>74</v>
      </c>
      <c r="BA538" t="s">
        <v>74</v>
      </c>
      <c r="BB538">
        <v>2193</v>
      </c>
      <c r="BC538">
        <v>2194</v>
      </c>
      <c r="BD538" t="s">
        <v>74</v>
      </c>
      <c r="BE538" t="s">
        <v>8447</v>
      </c>
      <c r="BF538" t="str">
        <f>HYPERLINK("http://dx.doi.org/10.1016/j.dsr.2005.06.009","http://dx.doi.org/10.1016/j.dsr.2005.06.009")</f>
        <v>http://dx.doi.org/10.1016/j.dsr.2005.06.009</v>
      </c>
      <c r="BG538" t="s">
        <v>74</v>
      </c>
      <c r="BH538" t="s">
        <v>74</v>
      </c>
      <c r="BI538">
        <v>2</v>
      </c>
      <c r="BJ538" t="s">
        <v>629</v>
      </c>
      <c r="BK538" t="s">
        <v>98</v>
      </c>
      <c r="BL538" t="s">
        <v>629</v>
      </c>
      <c r="BM538" t="s">
        <v>8427</v>
      </c>
      <c r="BN538" t="s">
        <v>74</v>
      </c>
      <c r="BO538" t="s">
        <v>74</v>
      </c>
      <c r="BP538" t="s">
        <v>74</v>
      </c>
      <c r="BQ538" t="s">
        <v>74</v>
      </c>
      <c r="BR538" t="s">
        <v>101</v>
      </c>
      <c r="BS538" t="s">
        <v>8448</v>
      </c>
      <c r="BT538" t="str">
        <f>HYPERLINK("https%3A%2F%2Fwww.webofscience.com%2Fwos%2Fwoscc%2Ffull-record%2FWOS:000232847500014","View Full Record in Web of Science")</f>
        <v>View Full Record in Web of Science</v>
      </c>
    </row>
    <row r="539" spans="1:72" x14ac:dyDescent="0.15">
      <c r="A539" t="s">
        <v>72</v>
      </c>
      <c r="B539" t="s">
        <v>8449</v>
      </c>
      <c r="C539" t="s">
        <v>74</v>
      </c>
      <c r="D539" t="s">
        <v>74</v>
      </c>
      <c r="E539" t="s">
        <v>74</v>
      </c>
      <c r="F539" t="s">
        <v>8449</v>
      </c>
      <c r="G539" t="s">
        <v>74</v>
      </c>
      <c r="H539" t="s">
        <v>74</v>
      </c>
      <c r="I539" t="s">
        <v>8450</v>
      </c>
      <c r="J539" t="s">
        <v>8451</v>
      </c>
      <c r="K539" t="s">
        <v>74</v>
      </c>
      <c r="L539" t="s">
        <v>74</v>
      </c>
      <c r="M539" t="s">
        <v>77</v>
      </c>
      <c r="N539" t="s">
        <v>78</v>
      </c>
      <c r="O539" t="s">
        <v>74</v>
      </c>
      <c r="P539" t="s">
        <v>74</v>
      </c>
      <c r="Q539" t="s">
        <v>74</v>
      </c>
      <c r="R539" t="s">
        <v>74</v>
      </c>
      <c r="S539" t="s">
        <v>74</v>
      </c>
      <c r="T539" t="s">
        <v>8452</v>
      </c>
      <c r="U539" t="s">
        <v>8453</v>
      </c>
      <c r="V539" t="s">
        <v>8454</v>
      </c>
      <c r="W539" t="s">
        <v>8455</v>
      </c>
      <c r="X539" t="s">
        <v>8456</v>
      </c>
      <c r="Y539" t="s">
        <v>8457</v>
      </c>
      <c r="Z539" t="s">
        <v>8458</v>
      </c>
      <c r="AA539" t="s">
        <v>8459</v>
      </c>
      <c r="AB539" t="s">
        <v>8460</v>
      </c>
      <c r="AC539" t="s">
        <v>74</v>
      </c>
      <c r="AD539" t="s">
        <v>74</v>
      </c>
      <c r="AE539" t="s">
        <v>74</v>
      </c>
      <c r="AF539" t="s">
        <v>74</v>
      </c>
      <c r="AG539">
        <v>25</v>
      </c>
      <c r="AH539">
        <v>7</v>
      </c>
      <c r="AI539">
        <v>9</v>
      </c>
      <c r="AJ539">
        <v>0</v>
      </c>
      <c r="AK539">
        <v>6</v>
      </c>
      <c r="AL539" t="s">
        <v>4460</v>
      </c>
      <c r="AM539" t="s">
        <v>4461</v>
      </c>
      <c r="AN539" t="s">
        <v>4462</v>
      </c>
      <c r="AO539" t="s">
        <v>8461</v>
      </c>
      <c r="AP539" t="s">
        <v>74</v>
      </c>
      <c r="AQ539" t="s">
        <v>74</v>
      </c>
      <c r="AR539" t="s">
        <v>8462</v>
      </c>
      <c r="AS539" t="s">
        <v>8463</v>
      </c>
      <c r="AT539" t="s">
        <v>7971</v>
      </c>
      <c r="AU539">
        <v>2005</v>
      </c>
      <c r="AV539">
        <v>30</v>
      </c>
      <c r="AW539">
        <v>12</v>
      </c>
      <c r="AX539" t="s">
        <v>74</v>
      </c>
      <c r="AY539" t="s">
        <v>74</v>
      </c>
      <c r="AZ539" t="s">
        <v>74</v>
      </c>
      <c r="BA539" t="s">
        <v>74</v>
      </c>
      <c r="BB539">
        <v>1583</v>
      </c>
      <c r="BC539">
        <v>1591</v>
      </c>
      <c r="BD539" t="s">
        <v>74</v>
      </c>
      <c r="BE539" t="s">
        <v>8464</v>
      </c>
      <c r="BF539" t="str">
        <f>HYPERLINK("http://dx.doi.org/10.1002/esp.1238","http://dx.doi.org/10.1002/esp.1238")</f>
        <v>http://dx.doi.org/10.1002/esp.1238</v>
      </c>
      <c r="BG539" t="s">
        <v>74</v>
      </c>
      <c r="BH539" t="s">
        <v>74</v>
      </c>
      <c r="BI539">
        <v>9</v>
      </c>
      <c r="BJ539" t="s">
        <v>2246</v>
      </c>
      <c r="BK539" t="s">
        <v>98</v>
      </c>
      <c r="BL539" t="s">
        <v>1531</v>
      </c>
      <c r="BM539" t="s">
        <v>8465</v>
      </c>
      <c r="BN539" t="s">
        <v>74</v>
      </c>
      <c r="BO539" t="s">
        <v>74</v>
      </c>
      <c r="BP539" t="s">
        <v>74</v>
      </c>
      <c r="BQ539" t="s">
        <v>74</v>
      </c>
      <c r="BR539" t="s">
        <v>101</v>
      </c>
      <c r="BS539" t="s">
        <v>8466</v>
      </c>
      <c r="BT539" t="str">
        <f>HYPERLINK("https%3A%2F%2Fwww.webofscience.com%2Fwos%2Fwoscc%2Ffull-record%2FWOS:000233325700007","View Full Record in Web of Science")</f>
        <v>View Full Record in Web of Science</v>
      </c>
    </row>
    <row r="540" spans="1:72" x14ac:dyDescent="0.15">
      <c r="A540" t="s">
        <v>72</v>
      </c>
      <c r="B540" t="s">
        <v>8467</v>
      </c>
      <c r="C540" t="s">
        <v>74</v>
      </c>
      <c r="D540" t="s">
        <v>74</v>
      </c>
      <c r="E540" t="s">
        <v>74</v>
      </c>
      <c r="F540" t="s">
        <v>8467</v>
      </c>
      <c r="G540" t="s">
        <v>74</v>
      </c>
      <c r="H540" t="s">
        <v>74</v>
      </c>
      <c r="I540" t="s">
        <v>8468</v>
      </c>
      <c r="J540" t="s">
        <v>8469</v>
      </c>
      <c r="K540" t="s">
        <v>74</v>
      </c>
      <c r="L540" t="s">
        <v>74</v>
      </c>
      <c r="M540" t="s">
        <v>77</v>
      </c>
      <c r="N540" t="s">
        <v>78</v>
      </c>
      <c r="O540" t="s">
        <v>74</v>
      </c>
      <c r="P540" t="s">
        <v>74</v>
      </c>
      <c r="Q540" t="s">
        <v>74</v>
      </c>
      <c r="R540" t="s">
        <v>74</v>
      </c>
      <c r="S540" t="s">
        <v>74</v>
      </c>
      <c r="T540" t="s">
        <v>8470</v>
      </c>
      <c r="U540" t="s">
        <v>8471</v>
      </c>
      <c r="V540" t="s">
        <v>8472</v>
      </c>
      <c r="W540" t="s">
        <v>8473</v>
      </c>
      <c r="X540" t="s">
        <v>8474</v>
      </c>
      <c r="Y540" t="s">
        <v>8475</v>
      </c>
      <c r="Z540" t="s">
        <v>8476</v>
      </c>
      <c r="AA540" t="s">
        <v>8477</v>
      </c>
      <c r="AB540" t="s">
        <v>8478</v>
      </c>
      <c r="AC540" t="s">
        <v>74</v>
      </c>
      <c r="AD540" t="s">
        <v>74</v>
      </c>
      <c r="AE540" t="s">
        <v>74</v>
      </c>
      <c r="AF540" t="s">
        <v>74</v>
      </c>
      <c r="AG540">
        <v>48</v>
      </c>
      <c r="AH540">
        <v>162</v>
      </c>
      <c r="AI540">
        <v>177</v>
      </c>
      <c r="AJ540">
        <v>4</v>
      </c>
      <c r="AK540">
        <v>152</v>
      </c>
      <c r="AL540" t="s">
        <v>2025</v>
      </c>
      <c r="AM540" t="s">
        <v>2026</v>
      </c>
      <c r="AN540" t="s">
        <v>2027</v>
      </c>
      <c r="AO540" t="s">
        <v>8479</v>
      </c>
      <c r="AP540" t="s">
        <v>8480</v>
      </c>
      <c r="AQ540" t="s">
        <v>74</v>
      </c>
      <c r="AR540" t="s">
        <v>8469</v>
      </c>
      <c r="AS540" t="s">
        <v>1154</v>
      </c>
      <c r="AT540" t="s">
        <v>7971</v>
      </c>
      <c r="AU540">
        <v>2005</v>
      </c>
      <c r="AV540">
        <v>86</v>
      </c>
      <c r="AW540">
        <v>11</v>
      </c>
      <c r="AX540" t="s">
        <v>74</v>
      </c>
      <c r="AY540" t="s">
        <v>74</v>
      </c>
      <c r="AZ540" t="s">
        <v>74</v>
      </c>
      <c r="BA540" t="s">
        <v>74</v>
      </c>
      <c r="BB540">
        <v>2889</v>
      </c>
      <c r="BC540">
        <v>2903</v>
      </c>
      <c r="BD540" t="s">
        <v>74</v>
      </c>
      <c r="BE540" t="s">
        <v>8481</v>
      </c>
      <c r="BF540" t="str">
        <f>HYPERLINK("http://dx.doi.org/10.1890/05-0514","http://dx.doi.org/10.1890/05-0514")</f>
        <v>http://dx.doi.org/10.1890/05-0514</v>
      </c>
      <c r="BG540" t="s">
        <v>74</v>
      </c>
      <c r="BH540" t="s">
        <v>74</v>
      </c>
      <c r="BI540">
        <v>15</v>
      </c>
      <c r="BJ540" t="s">
        <v>1154</v>
      </c>
      <c r="BK540" t="s">
        <v>98</v>
      </c>
      <c r="BL540" t="s">
        <v>1155</v>
      </c>
      <c r="BM540" t="s">
        <v>8482</v>
      </c>
      <c r="BN540" t="s">
        <v>74</v>
      </c>
      <c r="BO540" t="s">
        <v>74</v>
      </c>
      <c r="BP540" t="s">
        <v>74</v>
      </c>
      <c r="BQ540" t="s">
        <v>74</v>
      </c>
      <c r="BR540" t="s">
        <v>101</v>
      </c>
      <c r="BS540" t="s">
        <v>8483</v>
      </c>
      <c r="BT540" t="str">
        <f>HYPERLINK("https%3A%2F%2Fwww.webofscience.com%2Fwos%2Fwoscc%2Ffull-record%2FWOS:000233419600006","View Full Record in Web of Science")</f>
        <v>View Full Record in Web of Science</v>
      </c>
    </row>
    <row r="541" spans="1:72" x14ac:dyDescent="0.15">
      <c r="A541" t="s">
        <v>72</v>
      </c>
      <c r="B541" t="s">
        <v>8484</v>
      </c>
      <c r="C541" t="s">
        <v>74</v>
      </c>
      <c r="D541" t="s">
        <v>74</v>
      </c>
      <c r="E541" t="s">
        <v>74</v>
      </c>
      <c r="F541" t="s">
        <v>8484</v>
      </c>
      <c r="G541" t="s">
        <v>74</v>
      </c>
      <c r="H541" t="s">
        <v>74</v>
      </c>
      <c r="I541" t="s">
        <v>8485</v>
      </c>
      <c r="J541" t="s">
        <v>8486</v>
      </c>
      <c r="K541" t="s">
        <v>74</v>
      </c>
      <c r="L541" t="s">
        <v>74</v>
      </c>
      <c r="M541" t="s">
        <v>77</v>
      </c>
      <c r="N541" t="s">
        <v>78</v>
      </c>
      <c r="O541" t="s">
        <v>74</v>
      </c>
      <c r="P541" t="s">
        <v>74</v>
      </c>
      <c r="Q541" t="s">
        <v>74</v>
      </c>
      <c r="R541" t="s">
        <v>74</v>
      </c>
      <c r="S541" t="s">
        <v>74</v>
      </c>
      <c r="T541" t="s">
        <v>8487</v>
      </c>
      <c r="U541" t="s">
        <v>8488</v>
      </c>
      <c r="V541" t="s">
        <v>8489</v>
      </c>
      <c r="W541" t="s">
        <v>8490</v>
      </c>
      <c r="X541" t="s">
        <v>8491</v>
      </c>
      <c r="Y541" t="s">
        <v>8492</v>
      </c>
      <c r="Z541" t="s">
        <v>8493</v>
      </c>
      <c r="AA541" t="s">
        <v>8494</v>
      </c>
      <c r="AB541" t="s">
        <v>8495</v>
      </c>
      <c r="AC541" t="s">
        <v>74</v>
      </c>
      <c r="AD541" t="s">
        <v>74</v>
      </c>
      <c r="AE541" t="s">
        <v>74</v>
      </c>
      <c r="AF541" t="s">
        <v>74</v>
      </c>
      <c r="AG541">
        <v>25</v>
      </c>
      <c r="AH541">
        <v>16</v>
      </c>
      <c r="AI541">
        <v>19</v>
      </c>
      <c r="AJ541">
        <v>0</v>
      </c>
      <c r="AK541">
        <v>8</v>
      </c>
      <c r="AL541" t="s">
        <v>622</v>
      </c>
      <c r="AM541" t="s">
        <v>140</v>
      </c>
      <c r="AN541" t="s">
        <v>623</v>
      </c>
      <c r="AO541" t="s">
        <v>8496</v>
      </c>
      <c r="AP541" t="s">
        <v>8497</v>
      </c>
      <c r="AQ541" t="s">
        <v>74</v>
      </c>
      <c r="AR541" t="s">
        <v>8498</v>
      </c>
      <c r="AS541" t="s">
        <v>8499</v>
      </c>
      <c r="AT541" t="s">
        <v>7971</v>
      </c>
      <c r="AU541">
        <v>2005</v>
      </c>
      <c r="AV541">
        <v>46</v>
      </c>
      <c r="AW541" t="s">
        <v>8500</v>
      </c>
      <c r="AX541" t="s">
        <v>74</v>
      </c>
      <c r="AY541" t="s">
        <v>74</v>
      </c>
      <c r="AZ541" t="s">
        <v>74</v>
      </c>
      <c r="BA541" t="s">
        <v>74</v>
      </c>
      <c r="BB541">
        <v>2907</v>
      </c>
      <c r="BC541">
        <v>2918</v>
      </c>
      <c r="BD541" t="s">
        <v>74</v>
      </c>
      <c r="BE541" t="s">
        <v>8501</v>
      </c>
      <c r="BF541" t="str">
        <f>HYPERLINK("http://dx.doi.org/10.1016/j.enconman.2005.02.008","http://dx.doi.org/10.1016/j.enconman.2005.02.008")</f>
        <v>http://dx.doi.org/10.1016/j.enconman.2005.02.008</v>
      </c>
      <c r="BG541" t="s">
        <v>74</v>
      </c>
      <c r="BH541" t="s">
        <v>74</v>
      </c>
      <c r="BI541">
        <v>12</v>
      </c>
      <c r="BJ541" t="s">
        <v>8502</v>
      </c>
      <c r="BK541" t="s">
        <v>98</v>
      </c>
      <c r="BL541" t="s">
        <v>8502</v>
      </c>
      <c r="BM541" t="s">
        <v>8503</v>
      </c>
      <c r="BN541" t="s">
        <v>74</v>
      </c>
      <c r="BO541" t="s">
        <v>74</v>
      </c>
      <c r="BP541" t="s">
        <v>74</v>
      </c>
      <c r="BQ541" t="s">
        <v>74</v>
      </c>
      <c r="BR541" t="s">
        <v>101</v>
      </c>
      <c r="BS541" t="s">
        <v>8504</v>
      </c>
      <c r="BT541" t="str">
        <f>HYPERLINK("https%3A%2F%2Fwww.webofscience.com%2Fwos%2Fwoscc%2Ffull-record%2FWOS:000230131200006","View Full Record in Web of Science")</f>
        <v>View Full Record in Web of Science</v>
      </c>
    </row>
    <row r="542" spans="1:72" x14ac:dyDescent="0.15">
      <c r="A542" t="s">
        <v>72</v>
      </c>
      <c r="B542" t="s">
        <v>8505</v>
      </c>
      <c r="C542" t="s">
        <v>74</v>
      </c>
      <c r="D542" t="s">
        <v>74</v>
      </c>
      <c r="E542" t="s">
        <v>74</v>
      </c>
      <c r="F542" t="s">
        <v>8505</v>
      </c>
      <c r="G542" t="s">
        <v>74</v>
      </c>
      <c r="H542" t="s">
        <v>74</v>
      </c>
      <c r="I542" t="s">
        <v>8506</v>
      </c>
      <c r="J542" t="s">
        <v>8507</v>
      </c>
      <c r="K542" t="s">
        <v>74</v>
      </c>
      <c r="L542" t="s">
        <v>74</v>
      </c>
      <c r="M542" t="s">
        <v>77</v>
      </c>
      <c r="N542" t="s">
        <v>5777</v>
      </c>
      <c r="O542" t="s">
        <v>74</v>
      </c>
      <c r="P542" t="s">
        <v>74</v>
      </c>
      <c r="Q542" t="s">
        <v>74</v>
      </c>
      <c r="R542" t="s">
        <v>74</v>
      </c>
      <c r="S542" t="s">
        <v>74</v>
      </c>
      <c r="T542" t="s">
        <v>74</v>
      </c>
      <c r="U542" t="s">
        <v>8508</v>
      </c>
      <c r="V542" t="s">
        <v>74</v>
      </c>
      <c r="W542" t="s">
        <v>8509</v>
      </c>
      <c r="X542" t="s">
        <v>6158</v>
      </c>
      <c r="Y542" t="s">
        <v>8510</v>
      </c>
      <c r="Z542" t="s">
        <v>8511</v>
      </c>
      <c r="AA542" t="s">
        <v>8512</v>
      </c>
      <c r="AB542" t="s">
        <v>8513</v>
      </c>
      <c r="AC542" t="s">
        <v>74</v>
      </c>
      <c r="AD542" t="s">
        <v>74</v>
      </c>
      <c r="AE542" t="s">
        <v>74</v>
      </c>
      <c r="AF542" t="s">
        <v>74</v>
      </c>
      <c r="AG542">
        <v>10</v>
      </c>
      <c r="AH542">
        <v>2</v>
      </c>
      <c r="AI542">
        <v>3</v>
      </c>
      <c r="AJ542">
        <v>0</v>
      </c>
      <c r="AK542">
        <v>3</v>
      </c>
      <c r="AL542" t="s">
        <v>6514</v>
      </c>
      <c r="AM542" t="s">
        <v>6515</v>
      </c>
      <c r="AN542" t="s">
        <v>6516</v>
      </c>
      <c r="AO542" t="s">
        <v>8514</v>
      </c>
      <c r="AP542" t="s">
        <v>8515</v>
      </c>
      <c r="AQ542" t="s">
        <v>74</v>
      </c>
      <c r="AR542" t="s">
        <v>8516</v>
      </c>
      <c r="AS542" t="s">
        <v>8517</v>
      </c>
      <c r="AT542" t="s">
        <v>7971</v>
      </c>
      <c r="AU542">
        <v>2005</v>
      </c>
      <c r="AV542">
        <v>12</v>
      </c>
      <c r="AW542">
        <v>6</v>
      </c>
      <c r="AX542" t="s">
        <v>74</v>
      </c>
      <c r="AY542" t="s">
        <v>74</v>
      </c>
      <c r="AZ542" t="s">
        <v>74</v>
      </c>
      <c r="BA542" t="s">
        <v>74</v>
      </c>
      <c r="BB542">
        <v>322</v>
      </c>
      <c r="BC542">
        <v>322</v>
      </c>
      <c r="BD542" t="s">
        <v>74</v>
      </c>
      <c r="BE542" t="s">
        <v>8518</v>
      </c>
      <c r="BF542" t="str">
        <f>HYPERLINK("http://dx.doi.org/10.1065/espr2005.11.003","http://dx.doi.org/10.1065/espr2005.11.003")</f>
        <v>http://dx.doi.org/10.1065/espr2005.11.003</v>
      </c>
      <c r="BG542" t="s">
        <v>74</v>
      </c>
      <c r="BH542" t="s">
        <v>74</v>
      </c>
      <c r="BI542">
        <v>1</v>
      </c>
      <c r="BJ542" t="s">
        <v>6033</v>
      </c>
      <c r="BK542" t="s">
        <v>98</v>
      </c>
      <c r="BL542" t="s">
        <v>1155</v>
      </c>
      <c r="BM542" t="s">
        <v>8519</v>
      </c>
      <c r="BN542">
        <v>16305136</v>
      </c>
      <c r="BO542" t="s">
        <v>74</v>
      </c>
      <c r="BP542" t="s">
        <v>74</v>
      </c>
      <c r="BQ542" t="s">
        <v>74</v>
      </c>
      <c r="BR542" t="s">
        <v>101</v>
      </c>
      <c r="BS542" t="s">
        <v>8520</v>
      </c>
      <c r="BT542" t="str">
        <f>HYPERLINK("https%3A%2F%2Fwww.webofscience.com%2Fwos%2Fwoscc%2Ffull-record%2FWOS:000232939000003","View Full Record in Web of Science")</f>
        <v>View Full Record in Web of Science</v>
      </c>
    </row>
    <row r="543" spans="1:72" x14ac:dyDescent="0.15">
      <c r="A543" t="s">
        <v>72</v>
      </c>
      <c r="B543" t="s">
        <v>8521</v>
      </c>
      <c r="C543" t="s">
        <v>74</v>
      </c>
      <c r="D543" t="s">
        <v>74</v>
      </c>
      <c r="E543" t="s">
        <v>74</v>
      </c>
      <c r="F543" t="s">
        <v>8521</v>
      </c>
      <c r="G543" t="s">
        <v>74</v>
      </c>
      <c r="H543" t="s">
        <v>74</v>
      </c>
      <c r="I543" t="s">
        <v>8522</v>
      </c>
      <c r="J543" t="s">
        <v>5359</v>
      </c>
      <c r="K543" t="s">
        <v>74</v>
      </c>
      <c r="L543" t="s">
        <v>74</v>
      </c>
      <c r="M543" t="s">
        <v>77</v>
      </c>
      <c r="N543" t="s">
        <v>78</v>
      </c>
      <c r="O543" t="s">
        <v>74</v>
      </c>
      <c r="P543" t="s">
        <v>74</v>
      </c>
      <c r="Q543" t="s">
        <v>74</v>
      </c>
      <c r="R543" t="s">
        <v>74</v>
      </c>
      <c r="S543" t="s">
        <v>74</v>
      </c>
      <c r="T543" t="s">
        <v>74</v>
      </c>
      <c r="U543" t="s">
        <v>8523</v>
      </c>
      <c r="V543" t="s">
        <v>8524</v>
      </c>
      <c r="W543" t="s">
        <v>8525</v>
      </c>
      <c r="X543" t="s">
        <v>8526</v>
      </c>
      <c r="Y543" t="s">
        <v>8527</v>
      </c>
      <c r="Z543" t="s">
        <v>8528</v>
      </c>
      <c r="AA543" t="s">
        <v>8529</v>
      </c>
      <c r="AB543" t="s">
        <v>8530</v>
      </c>
      <c r="AC543" t="s">
        <v>74</v>
      </c>
      <c r="AD543" t="s">
        <v>74</v>
      </c>
      <c r="AE543" t="s">
        <v>74</v>
      </c>
      <c r="AF543" t="s">
        <v>74</v>
      </c>
      <c r="AG543">
        <v>35</v>
      </c>
      <c r="AH543">
        <v>70</v>
      </c>
      <c r="AI543">
        <v>81</v>
      </c>
      <c r="AJ543">
        <v>2</v>
      </c>
      <c r="AK543">
        <v>66</v>
      </c>
      <c r="AL543" t="s">
        <v>5368</v>
      </c>
      <c r="AM543" t="s">
        <v>2541</v>
      </c>
      <c r="AN543" t="s">
        <v>5369</v>
      </c>
      <c r="AO543" t="s">
        <v>5370</v>
      </c>
      <c r="AP543" t="s">
        <v>8531</v>
      </c>
      <c r="AQ543" t="s">
        <v>74</v>
      </c>
      <c r="AR543" t="s">
        <v>5371</v>
      </c>
      <c r="AS543" t="s">
        <v>5372</v>
      </c>
      <c r="AT543" t="s">
        <v>8295</v>
      </c>
      <c r="AU543">
        <v>2005</v>
      </c>
      <c r="AV543">
        <v>39</v>
      </c>
      <c r="AW543">
        <v>21</v>
      </c>
      <c r="AX543" t="s">
        <v>74</v>
      </c>
      <c r="AY543" t="s">
        <v>74</v>
      </c>
      <c r="AZ543" t="s">
        <v>74</v>
      </c>
      <c r="BA543" t="s">
        <v>74</v>
      </c>
      <c r="BB543">
        <v>8150</v>
      </c>
      <c r="BC543">
        <v>8155</v>
      </c>
      <c r="BD543" t="s">
        <v>74</v>
      </c>
      <c r="BE543" t="s">
        <v>8532</v>
      </c>
      <c r="BF543" t="str">
        <f>HYPERLINK("http://dx.doi.org/10.1021/es0507315","http://dx.doi.org/10.1021/es0507315")</f>
        <v>http://dx.doi.org/10.1021/es0507315</v>
      </c>
      <c r="BG543" t="s">
        <v>74</v>
      </c>
      <c r="BH543" t="s">
        <v>74</v>
      </c>
      <c r="BI543">
        <v>6</v>
      </c>
      <c r="BJ543" t="s">
        <v>5374</v>
      </c>
      <c r="BK543" t="s">
        <v>98</v>
      </c>
      <c r="BL543" t="s">
        <v>5375</v>
      </c>
      <c r="BM543" t="s">
        <v>8533</v>
      </c>
      <c r="BN543">
        <v>16294848</v>
      </c>
      <c r="BO543" t="s">
        <v>74</v>
      </c>
      <c r="BP543" t="s">
        <v>74</v>
      </c>
      <c r="BQ543" t="s">
        <v>74</v>
      </c>
      <c r="BR543" t="s">
        <v>101</v>
      </c>
      <c r="BS543" t="s">
        <v>8534</v>
      </c>
      <c r="BT543" t="str">
        <f>HYPERLINK("https%3A%2F%2Fwww.webofscience.com%2Fwos%2Fwoscc%2Ffull-record%2FWOS:000233078000014","View Full Record in Web of Science")</f>
        <v>View Full Record in Web of Science</v>
      </c>
    </row>
    <row r="544" spans="1:72" x14ac:dyDescent="0.15">
      <c r="A544" t="s">
        <v>72</v>
      </c>
      <c r="B544" t="s">
        <v>8535</v>
      </c>
      <c r="C544" t="s">
        <v>74</v>
      </c>
      <c r="D544" t="s">
        <v>74</v>
      </c>
      <c r="E544" t="s">
        <v>74</v>
      </c>
      <c r="F544" t="s">
        <v>8535</v>
      </c>
      <c r="G544" t="s">
        <v>74</v>
      </c>
      <c r="H544" t="s">
        <v>74</v>
      </c>
      <c r="I544" t="s">
        <v>8536</v>
      </c>
      <c r="J544" t="s">
        <v>8537</v>
      </c>
      <c r="K544" t="s">
        <v>74</v>
      </c>
      <c r="L544" t="s">
        <v>74</v>
      </c>
      <c r="M544" t="s">
        <v>77</v>
      </c>
      <c r="N544" t="s">
        <v>78</v>
      </c>
      <c r="O544" t="s">
        <v>74</v>
      </c>
      <c r="P544" t="s">
        <v>74</v>
      </c>
      <c r="Q544" t="s">
        <v>74</v>
      </c>
      <c r="R544" t="s">
        <v>74</v>
      </c>
      <c r="S544" t="s">
        <v>74</v>
      </c>
      <c r="T544" t="s">
        <v>8538</v>
      </c>
      <c r="U544" t="s">
        <v>8539</v>
      </c>
      <c r="V544" t="s">
        <v>8540</v>
      </c>
      <c r="W544" t="s">
        <v>8541</v>
      </c>
      <c r="X544" t="s">
        <v>8542</v>
      </c>
      <c r="Y544" t="s">
        <v>8543</v>
      </c>
      <c r="Z544" t="s">
        <v>8544</v>
      </c>
      <c r="AA544" t="s">
        <v>8545</v>
      </c>
      <c r="AB544" t="s">
        <v>8546</v>
      </c>
      <c r="AC544" t="s">
        <v>74</v>
      </c>
      <c r="AD544" t="s">
        <v>74</v>
      </c>
      <c r="AE544" t="s">
        <v>74</v>
      </c>
      <c r="AF544" t="s">
        <v>74</v>
      </c>
      <c r="AG544">
        <v>60</v>
      </c>
      <c r="AH544">
        <v>34</v>
      </c>
      <c r="AI544">
        <v>42</v>
      </c>
      <c r="AJ544">
        <v>2</v>
      </c>
      <c r="AK544">
        <v>11</v>
      </c>
      <c r="AL544" t="s">
        <v>5928</v>
      </c>
      <c r="AM544" t="s">
        <v>2026</v>
      </c>
      <c r="AN544" t="s">
        <v>2027</v>
      </c>
      <c r="AO544" t="s">
        <v>8547</v>
      </c>
      <c r="AP544" t="s">
        <v>8548</v>
      </c>
      <c r="AQ544" t="s">
        <v>74</v>
      </c>
      <c r="AR544" t="s">
        <v>8549</v>
      </c>
      <c r="AS544" t="s">
        <v>8550</v>
      </c>
      <c r="AT544" t="s">
        <v>7971</v>
      </c>
      <c r="AU544">
        <v>2005</v>
      </c>
      <c r="AV544">
        <v>14</v>
      </c>
      <c r="AW544" t="s">
        <v>74</v>
      </c>
      <c r="AX544" t="s">
        <v>74</v>
      </c>
      <c r="AY544">
        <v>1</v>
      </c>
      <c r="AZ544" t="s">
        <v>74</v>
      </c>
      <c r="BA544" t="s">
        <v>74</v>
      </c>
      <c r="BB544">
        <v>243</v>
      </c>
      <c r="BC544">
        <v>258</v>
      </c>
      <c r="BD544" t="s">
        <v>74</v>
      </c>
      <c r="BE544" t="s">
        <v>8551</v>
      </c>
      <c r="BF544" t="str">
        <f>HYPERLINK("http://dx.doi.org/10.1111/j.1365-2419.2005.00379.x","http://dx.doi.org/10.1111/j.1365-2419.2005.00379.x")</f>
        <v>http://dx.doi.org/10.1111/j.1365-2419.2005.00379.x</v>
      </c>
      <c r="BG544" t="s">
        <v>74</v>
      </c>
      <c r="BH544" t="s">
        <v>74</v>
      </c>
      <c r="BI544">
        <v>16</v>
      </c>
      <c r="BJ544" t="s">
        <v>8552</v>
      </c>
      <c r="BK544" t="s">
        <v>98</v>
      </c>
      <c r="BL544" t="s">
        <v>8552</v>
      </c>
      <c r="BM544" t="s">
        <v>8553</v>
      </c>
      <c r="BN544" t="s">
        <v>74</v>
      </c>
      <c r="BO544" t="s">
        <v>74</v>
      </c>
      <c r="BP544" t="s">
        <v>74</v>
      </c>
      <c r="BQ544" t="s">
        <v>74</v>
      </c>
      <c r="BR544" t="s">
        <v>101</v>
      </c>
      <c r="BS544" t="s">
        <v>8554</v>
      </c>
      <c r="BT544" t="str">
        <f>HYPERLINK("https%3A%2F%2Fwww.webofscience.com%2Fwos%2Fwoscc%2Ffull-record%2FWOS:000232149300016","View Full Record in Web of Science")</f>
        <v>View Full Record in Web of Science</v>
      </c>
    </row>
    <row r="545" spans="1:72" x14ac:dyDescent="0.15">
      <c r="A545" t="s">
        <v>72</v>
      </c>
      <c r="B545" t="s">
        <v>8555</v>
      </c>
      <c r="C545" t="s">
        <v>74</v>
      </c>
      <c r="D545" t="s">
        <v>74</v>
      </c>
      <c r="E545" t="s">
        <v>74</v>
      </c>
      <c r="F545" t="s">
        <v>8555</v>
      </c>
      <c r="G545" t="s">
        <v>74</v>
      </c>
      <c r="H545" t="s">
        <v>74</v>
      </c>
      <c r="I545" t="s">
        <v>8556</v>
      </c>
      <c r="J545" t="s">
        <v>8557</v>
      </c>
      <c r="K545" t="s">
        <v>74</v>
      </c>
      <c r="L545" t="s">
        <v>74</v>
      </c>
      <c r="M545" t="s">
        <v>77</v>
      </c>
      <c r="N545" t="s">
        <v>78</v>
      </c>
      <c r="O545" t="s">
        <v>74</v>
      </c>
      <c r="P545" t="s">
        <v>74</v>
      </c>
      <c r="Q545" t="s">
        <v>74</v>
      </c>
      <c r="R545" t="s">
        <v>74</v>
      </c>
      <c r="S545" t="s">
        <v>74</v>
      </c>
      <c r="T545" t="s">
        <v>8558</v>
      </c>
      <c r="U545" t="s">
        <v>8559</v>
      </c>
      <c r="V545" t="s">
        <v>8560</v>
      </c>
      <c r="W545" t="s">
        <v>8561</v>
      </c>
      <c r="X545" t="s">
        <v>8562</v>
      </c>
      <c r="Y545" t="s">
        <v>8563</v>
      </c>
      <c r="Z545" t="s">
        <v>8564</v>
      </c>
      <c r="AA545" t="s">
        <v>8565</v>
      </c>
      <c r="AB545" t="s">
        <v>8566</v>
      </c>
      <c r="AC545" t="s">
        <v>74</v>
      </c>
      <c r="AD545" t="s">
        <v>74</v>
      </c>
      <c r="AE545" t="s">
        <v>74</v>
      </c>
      <c r="AF545" t="s">
        <v>74</v>
      </c>
      <c r="AG545">
        <v>95</v>
      </c>
      <c r="AH545">
        <v>27</v>
      </c>
      <c r="AI545">
        <v>30</v>
      </c>
      <c r="AJ545">
        <v>0</v>
      </c>
      <c r="AK545">
        <v>27</v>
      </c>
      <c r="AL545" t="s">
        <v>477</v>
      </c>
      <c r="AM545" t="s">
        <v>478</v>
      </c>
      <c r="AN545" t="s">
        <v>479</v>
      </c>
      <c r="AO545" t="s">
        <v>8567</v>
      </c>
      <c r="AP545" t="s">
        <v>8568</v>
      </c>
      <c r="AQ545" t="s">
        <v>74</v>
      </c>
      <c r="AR545" t="s">
        <v>8569</v>
      </c>
      <c r="AS545" t="s">
        <v>8570</v>
      </c>
      <c r="AT545" t="s">
        <v>7952</v>
      </c>
      <c r="AU545">
        <v>2005</v>
      </c>
      <c r="AV545">
        <v>38</v>
      </c>
      <c r="AW545">
        <v>6</v>
      </c>
      <c r="AX545" t="s">
        <v>74</v>
      </c>
      <c r="AY545" t="s">
        <v>74</v>
      </c>
      <c r="AZ545" t="s">
        <v>74</v>
      </c>
      <c r="BA545" t="s">
        <v>74</v>
      </c>
      <c r="BB545">
        <v>843</v>
      </c>
      <c r="BC545">
        <v>863</v>
      </c>
      <c r="BD545" t="s">
        <v>74</v>
      </c>
      <c r="BE545" t="s">
        <v>8571</v>
      </c>
      <c r="BF545" t="str">
        <f>HYPERLINK("http://dx.doi.org/10.1016/j.geobios.2004.12.001","http://dx.doi.org/10.1016/j.geobios.2004.12.001")</f>
        <v>http://dx.doi.org/10.1016/j.geobios.2004.12.001</v>
      </c>
      <c r="BG545" t="s">
        <v>74</v>
      </c>
      <c r="BH545" t="s">
        <v>74</v>
      </c>
      <c r="BI545">
        <v>21</v>
      </c>
      <c r="BJ545" t="s">
        <v>487</v>
      </c>
      <c r="BK545" t="s">
        <v>98</v>
      </c>
      <c r="BL545" t="s">
        <v>487</v>
      </c>
      <c r="BM545" t="s">
        <v>8572</v>
      </c>
      <c r="BN545" t="s">
        <v>74</v>
      </c>
      <c r="BO545" t="s">
        <v>74</v>
      </c>
      <c r="BP545" t="s">
        <v>74</v>
      </c>
      <c r="BQ545" t="s">
        <v>74</v>
      </c>
      <c r="BR545" t="s">
        <v>101</v>
      </c>
      <c r="BS545" t="s">
        <v>8573</v>
      </c>
      <c r="BT545" t="str">
        <f>HYPERLINK("https%3A%2F%2Fwww.webofscience.com%2Fwos%2Fwoscc%2Ffull-record%2FWOS:000234045600008","View Full Record in Web of Science")</f>
        <v>View Full Record in Web of Science</v>
      </c>
    </row>
    <row r="546" spans="1:72" x14ac:dyDescent="0.15">
      <c r="A546" t="s">
        <v>72</v>
      </c>
      <c r="B546" t="s">
        <v>8574</v>
      </c>
      <c r="C546" t="s">
        <v>74</v>
      </c>
      <c r="D546" t="s">
        <v>74</v>
      </c>
      <c r="E546" t="s">
        <v>74</v>
      </c>
      <c r="F546" t="s">
        <v>8574</v>
      </c>
      <c r="G546" t="s">
        <v>74</v>
      </c>
      <c r="H546" t="s">
        <v>74</v>
      </c>
      <c r="I546" t="s">
        <v>8575</v>
      </c>
      <c r="J546" t="s">
        <v>8576</v>
      </c>
      <c r="K546" t="s">
        <v>74</v>
      </c>
      <c r="L546" t="s">
        <v>74</v>
      </c>
      <c r="M546" t="s">
        <v>77</v>
      </c>
      <c r="N546" t="s">
        <v>78</v>
      </c>
      <c r="O546" t="s">
        <v>74</v>
      </c>
      <c r="P546" t="s">
        <v>74</v>
      </c>
      <c r="Q546" t="s">
        <v>74</v>
      </c>
      <c r="R546" t="s">
        <v>74</v>
      </c>
      <c r="S546" t="s">
        <v>74</v>
      </c>
      <c r="T546" t="s">
        <v>8577</v>
      </c>
      <c r="U546" t="s">
        <v>8578</v>
      </c>
      <c r="V546" t="s">
        <v>8579</v>
      </c>
      <c r="W546" t="s">
        <v>8580</v>
      </c>
      <c r="X546" t="s">
        <v>8581</v>
      </c>
      <c r="Y546" t="s">
        <v>7245</v>
      </c>
      <c r="Z546" t="s">
        <v>8582</v>
      </c>
      <c r="AA546" t="s">
        <v>8583</v>
      </c>
      <c r="AB546" t="s">
        <v>8584</v>
      </c>
      <c r="AC546" t="s">
        <v>74</v>
      </c>
      <c r="AD546" t="s">
        <v>74</v>
      </c>
      <c r="AE546" t="s">
        <v>74</v>
      </c>
      <c r="AF546" t="s">
        <v>74</v>
      </c>
      <c r="AG546">
        <v>58</v>
      </c>
      <c r="AH546">
        <v>19</v>
      </c>
      <c r="AI546">
        <v>21</v>
      </c>
      <c r="AJ546">
        <v>0</v>
      </c>
      <c r="AK546">
        <v>5</v>
      </c>
      <c r="AL546" t="s">
        <v>2239</v>
      </c>
      <c r="AM546" t="s">
        <v>89</v>
      </c>
      <c r="AN546" t="s">
        <v>4047</v>
      </c>
      <c r="AO546" t="s">
        <v>8585</v>
      </c>
      <c r="AP546" t="s">
        <v>8586</v>
      </c>
      <c r="AQ546" t="s">
        <v>74</v>
      </c>
      <c r="AR546" t="s">
        <v>8587</v>
      </c>
      <c r="AS546" t="s">
        <v>8588</v>
      </c>
      <c r="AT546" t="s">
        <v>7971</v>
      </c>
      <c r="AU546">
        <v>2005</v>
      </c>
      <c r="AV546">
        <v>142</v>
      </c>
      <c r="AW546">
        <v>6</v>
      </c>
      <c r="AX546" t="s">
        <v>74</v>
      </c>
      <c r="AY546" t="s">
        <v>74</v>
      </c>
      <c r="AZ546" t="s">
        <v>74</v>
      </c>
      <c r="BA546" t="s">
        <v>74</v>
      </c>
      <c r="BB546">
        <v>751</v>
      </c>
      <c r="BC546">
        <v>763</v>
      </c>
      <c r="BD546" t="s">
        <v>74</v>
      </c>
      <c r="BE546" t="s">
        <v>8589</v>
      </c>
      <c r="BF546" t="str">
        <f>HYPERLINK("http://dx.doi.org/10.1017/S0016756805001093","http://dx.doi.org/10.1017/S0016756805001093")</f>
        <v>http://dx.doi.org/10.1017/S0016756805001093</v>
      </c>
      <c r="BG546" t="s">
        <v>74</v>
      </c>
      <c r="BH546" t="s">
        <v>74</v>
      </c>
      <c r="BI546">
        <v>13</v>
      </c>
      <c r="BJ546" t="s">
        <v>1129</v>
      </c>
      <c r="BK546" t="s">
        <v>98</v>
      </c>
      <c r="BL546" t="s">
        <v>1130</v>
      </c>
      <c r="BM546" t="s">
        <v>8590</v>
      </c>
      <c r="BN546" t="s">
        <v>74</v>
      </c>
      <c r="BO546" t="s">
        <v>74</v>
      </c>
      <c r="BP546" t="s">
        <v>74</v>
      </c>
      <c r="BQ546" t="s">
        <v>74</v>
      </c>
      <c r="BR546" t="s">
        <v>101</v>
      </c>
      <c r="BS546" t="s">
        <v>8591</v>
      </c>
      <c r="BT546" t="str">
        <f>HYPERLINK("https%3A%2F%2Fwww.webofscience.com%2Fwos%2Fwoscc%2Ffull-record%2FWOS:000235431400010","View Full Record in Web of Science")</f>
        <v>View Full Record in Web of Science</v>
      </c>
    </row>
    <row r="547" spans="1:72" x14ac:dyDescent="0.15">
      <c r="A547" t="s">
        <v>72</v>
      </c>
      <c r="B547" t="s">
        <v>8592</v>
      </c>
      <c r="C547" t="s">
        <v>74</v>
      </c>
      <c r="D547" t="s">
        <v>74</v>
      </c>
      <c r="E547" t="s">
        <v>74</v>
      </c>
      <c r="F547" t="s">
        <v>8592</v>
      </c>
      <c r="G547" t="s">
        <v>74</v>
      </c>
      <c r="H547" t="s">
        <v>74</v>
      </c>
      <c r="I547" t="s">
        <v>8593</v>
      </c>
      <c r="J547" t="s">
        <v>8594</v>
      </c>
      <c r="K547" t="s">
        <v>74</v>
      </c>
      <c r="L547" t="s">
        <v>74</v>
      </c>
      <c r="M547" t="s">
        <v>77</v>
      </c>
      <c r="N547" t="s">
        <v>78</v>
      </c>
      <c r="O547" t="s">
        <v>74</v>
      </c>
      <c r="P547" t="s">
        <v>74</v>
      </c>
      <c r="Q547" t="s">
        <v>74</v>
      </c>
      <c r="R547" t="s">
        <v>74</v>
      </c>
      <c r="S547" t="s">
        <v>74</v>
      </c>
      <c r="T547" t="s">
        <v>8595</v>
      </c>
      <c r="U547" t="s">
        <v>8596</v>
      </c>
      <c r="V547" t="s">
        <v>8597</v>
      </c>
      <c r="W547" t="s">
        <v>8598</v>
      </c>
      <c r="X547" t="s">
        <v>3321</v>
      </c>
      <c r="Y547" t="s">
        <v>8599</v>
      </c>
      <c r="Z547" t="s">
        <v>8600</v>
      </c>
      <c r="AA547" t="s">
        <v>8601</v>
      </c>
      <c r="AB547" t="s">
        <v>74</v>
      </c>
      <c r="AC547" t="s">
        <v>74</v>
      </c>
      <c r="AD547" t="s">
        <v>74</v>
      </c>
      <c r="AE547" t="s">
        <v>74</v>
      </c>
      <c r="AF547" t="s">
        <v>74</v>
      </c>
      <c r="AG547">
        <v>73</v>
      </c>
      <c r="AH547">
        <v>142</v>
      </c>
      <c r="AI547">
        <v>160</v>
      </c>
      <c r="AJ547">
        <v>1</v>
      </c>
      <c r="AK547">
        <v>21</v>
      </c>
      <c r="AL547" t="s">
        <v>1569</v>
      </c>
      <c r="AM547" t="s">
        <v>605</v>
      </c>
      <c r="AN547" t="s">
        <v>1570</v>
      </c>
      <c r="AO547" t="s">
        <v>8602</v>
      </c>
      <c r="AP547" t="s">
        <v>8603</v>
      </c>
      <c r="AQ547" t="s">
        <v>74</v>
      </c>
      <c r="AR547" t="s">
        <v>8604</v>
      </c>
      <c r="AS547" t="s">
        <v>8605</v>
      </c>
      <c r="AT547" t="s">
        <v>7952</v>
      </c>
      <c r="AU547">
        <v>2005</v>
      </c>
      <c r="AV547">
        <v>117</v>
      </c>
      <c r="AW547" t="s">
        <v>5673</v>
      </c>
      <c r="AX547" t="s">
        <v>74</v>
      </c>
      <c r="AY547" t="s">
        <v>74</v>
      </c>
      <c r="AZ547" t="s">
        <v>74</v>
      </c>
      <c r="BA547" t="s">
        <v>74</v>
      </c>
      <c r="BB547">
        <v>1497</v>
      </c>
      <c r="BC547">
        <v>1512</v>
      </c>
      <c r="BD547" t="s">
        <v>74</v>
      </c>
      <c r="BE547" t="s">
        <v>8606</v>
      </c>
      <c r="BF547" t="str">
        <f>HYPERLINK("http://dx.doi.org/10.1130/B25694.1","http://dx.doi.org/10.1130/B25694.1")</f>
        <v>http://dx.doi.org/10.1130/B25694.1</v>
      </c>
      <c r="BG547" t="s">
        <v>74</v>
      </c>
      <c r="BH547" t="s">
        <v>74</v>
      </c>
      <c r="BI547">
        <v>16</v>
      </c>
      <c r="BJ547" t="s">
        <v>1129</v>
      </c>
      <c r="BK547" t="s">
        <v>98</v>
      </c>
      <c r="BL547" t="s">
        <v>1130</v>
      </c>
      <c r="BM547" t="s">
        <v>8607</v>
      </c>
      <c r="BN547" t="s">
        <v>74</v>
      </c>
      <c r="BO547" t="s">
        <v>74</v>
      </c>
      <c r="BP547" t="s">
        <v>74</v>
      </c>
      <c r="BQ547" t="s">
        <v>74</v>
      </c>
      <c r="BR547" t="s">
        <v>101</v>
      </c>
      <c r="BS547" t="s">
        <v>8608</v>
      </c>
      <c r="BT547" t="str">
        <f>HYPERLINK("https%3A%2F%2Fwww.webofscience.com%2Fwos%2Fwoscc%2Ffull-record%2FWOS:000233072400009","View Full Record in Web of Science")</f>
        <v>View Full Record in Web of Science</v>
      </c>
    </row>
    <row r="548" spans="1:72" x14ac:dyDescent="0.15">
      <c r="A548" t="s">
        <v>72</v>
      </c>
      <c r="B548" t="s">
        <v>8609</v>
      </c>
      <c r="C548" t="s">
        <v>74</v>
      </c>
      <c r="D548" t="s">
        <v>74</v>
      </c>
      <c r="E548" t="s">
        <v>74</v>
      </c>
      <c r="F548" t="s">
        <v>8609</v>
      </c>
      <c r="G548" t="s">
        <v>74</v>
      </c>
      <c r="H548" t="s">
        <v>74</v>
      </c>
      <c r="I548" t="s">
        <v>8610</v>
      </c>
      <c r="J548" t="s">
        <v>8594</v>
      </c>
      <c r="K548" t="s">
        <v>74</v>
      </c>
      <c r="L548" t="s">
        <v>74</v>
      </c>
      <c r="M548" t="s">
        <v>77</v>
      </c>
      <c r="N548" t="s">
        <v>78</v>
      </c>
      <c r="O548" t="s">
        <v>74</v>
      </c>
      <c r="P548" t="s">
        <v>74</v>
      </c>
      <c r="Q548" t="s">
        <v>74</v>
      </c>
      <c r="R548" t="s">
        <v>74</v>
      </c>
      <c r="S548" t="s">
        <v>74</v>
      </c>
      <c r="T548" t="s">
        <v>8611</v>
      </c>
      <c r="U548" t="s">
        <v>8612</v>
      </c>
      <c r="V548" t="s">
        <v>8613</v>
      </c>
      <c r="W548" t="s">
        <v>8614</v>
      </c>
      <c r="X548" t="s">
        <v>8615</v>
      </c>
      <c r="Y548" t="s">
        <v>8616</v>
      </c>
      <c r="Z548" t="s">
        <v>8617</v>
      </c>
      <c r="AA548" t="s">
        <v>8618</v>
      </c>
      <c r="AB548" t="s">
        <v>8619</v>
      </c>
      <c r="AC548" t="s">
        <v>74</v>
      </c>
      <c r="AD548" t="s">
        <v>74</v>
      </c>
      <c r="AE548" t="s">
        <v>74</v>
      </c>
      <c r="AF548" t="s">
        <v>74</v>
      </c>
      <c r="AG548">
        <v>64</v>
      </c>
      <c r="AH548">
        <v>22</v>
      </c>
      <c r="AI548">
        <v>25</v>
      </c>
      <c r="AJ548">
        <v>0</v>
      </c>
      <c r="AK548">
        <v>5</v>
      </c>
      <c r="AL548" t="s">
        <v>1569</v>
      </c>
      <c r="AM548" t="s">
        <v>605</v>
      </c>
      <c r="AN548" t="s">
        <v>1570</v>
      </c>
      <c r="AO548" t="s">
        <v>8602</v>
      </c>
      <c r="AP548" t="s">
        <v>8603</v>
      </c>
      <c r="AQ548" t="s">
        <v>74</v>
      </c>
      <c r="AR548" t="s">
        <v>8604</v>
      </c>
      <c r="AS548" t="s">
        <v>8605</v>
      </c>
      <c r="AT548" t="s">
        <v>7952</v>
      </c>
      <c r="AU548">
        <v>2005</v>
      </c>
      <c r="AV548">
        <v>117</v>
      </c>
      <c r="AW548" t="s">
        <v>5673</v>
      </c>
      <c r="AX548" t="s">
        <v>74</v>
      </c>
      <c r="AY548" t="s">
        <v>74</v>
      </c>
      <c r="AZ548" t="s">
        <v>74</v>
      </c>
      <c r="BA548" t="s">
        <v>74</v>
      </c>
      <c r="BB548">
        <v>1615</v>
      </c>
      <c r="BC548">
        <v>1628</v>
      </c>
      <c r="BD548" t="s">
        <v>74</v>
      </c>
      <c r="BE548" t="s">
        <v>8620</v>
      </c>
      <c r="BF548" t="str">
        <f>HYPERLINK("http://dx.doi.org/10.1130/B25766.1","http://dx.doi.org/10.1130/B25766.1")</f>
        <v>http://dx.doi.org/10.1130/B25766.1</v>
      </c>
      <c r="BG548" t="s">
        <v>74</v>
      </c>
      <c r="BH548" t="s">
        <v>74</v>
      </c>
      <c r="BI548">
        <v>14</v>
      </c>
      <c r="BJ548" t="s">
        <v>1129</v>
      </c>
      <c r="BK548" t="s">
        <v>98</v>
      </c>
      <c r="BL548" t="s">
        <v>1130</v>
      </c>
      <c r="BM548" t="s">
        <v>8607</v>
      </c>
      <c r="BN548" t="s">
        <v>74</v>
      </c>
      <c r="BO548" t="s">
        <v>4083</v>
      </c>
      <c r="BP548" t="s">
        <v>74</v>
      </c>
      <c r="BQ548" t="s">
        <v>74</v>
      </c>
      <c r="BR548" t="s">
        <v>101</v>
      </c>
      <c r="BS548" t="s">
        <v>8621</v>
      </c>
      <c r="BT548" t="str">
        <f>HYPERLINK("https%3A%2F%2Fwww.webofscience.com%2Fwos%2Fwoscc%2Ffull-record%2FWOS:000233072400015","View Full Record in Web of Science")</f>
        <v>View Full Record in Web of Science</v>
      </c>
    </row>
    <row r="549" spans="1:72" x14ac:dyDescent="0.15">
      <c r="A549" t="s">
        <v>72</v>
      </c>
      <c r="B549" t="s">
        <v>8622</v>
      </c>
      <c r="C549" t="s">
        <v>74</v>
      </c>
      <c r="D549" t="s">
        <v>74</v>
      </c>
      <c r="E549" t="s">
        <v>74</v>
      </c>
      <c r="F549" t="s">
        <v>8622</v>
      </c>
      <c r="G549" t="s">
        <v>74</v>
      </c>
      <c r="H549" t="s">
        <v>74</v>
      </c>
      <c r="I549" t="s">
        <v>8623</v>
      </c>
      <c r="J549" t="s">
        <v>8624</v>
      </c>
      <c r="K549" t="s">
        <v>74</v>
      </c>
      <c r="L549" t="s">
        <v>74</v>
      </c>
      <c r="M549" t="s">
        <v>77</v>
      </c>
      <c r="N549" t="s">
        <v>78</v>
      </c>
      <c r="O549" t="s">
        <v>74</v>
      </c>
      <c r="P549" t="s">
        <v>74</v>
      </c>
      <c r="Q549" t="s">
        <v>74</v>
      </c>
      <c r="R549" t="s">
        <v>74</v>
      </c>
      <c r="S549" t="s">
        <v>74</v>
      </c>
      <c r="T549" t="s">
        <v>8625</v>
      </c>
      <c r="U549" t="s">
        <v>8626</v>
      </c>
      <c r="V549" t="s">
        <v>8627</v>
      </c>
      <c r="W549" t="s">
        <v>8628</v>
      </c>
      <c r="X549" t="s">
        <v>8629</v>
      </c>
      <c r="Y549" t="s">
        <v>8630</v>
      </c>
      <c r="Z549" t="s">
        <v>8631</v>
      </c>
      <c r="AA549" t="s">
        <v>74</v>
      </c>
      <c r="AB549" t="s">
        <v>74</v>
      </c>
      <c r="AC549" t="s">
        <v>74</v>
      </c>
      <c r="AD549" t="s">
        <v>74</v>
      </c>
      <c r="AE549" t="s">
        <v>74</v>
      </c>
      <c r="AF549" t="s">
        <v>74</v>
      </c>
      <c r="AG549">
        <v>83</v>
      </c>
      <c r="AH549">
        <v>65</v>
      </c>
      <c r="AI549">
        <v>72</v>
      </c>
      <c r="AJ549">
        <v>0</v>
      </c>
      <c r="AK549">
        <v>22</v>
      </c>
      <c r="AL549" t="s">
        <v>3283</v>
      </c>
      <c r="AM549" t="s">
        <v>1148</v>
      </c>
      <c r="AN549" t="s">
        <v>3284</v>
      </c>
      <c r="AO549" t="s">
        <v>8632</v>
      </c>
      <c r="AP549" t="s">
        <v>8633</v>
      </c>
      <c r="AQ549" t="s">
        <v>74</v>
      </c>
      <c r="AR549" t="s">
        <v>8634</v>
      </c>
      <c r="AS549" t="s">
        <v>8635</v>
      </c>
      <c r="AT549" t="s">
        <v>7971</v>
      </c>
      <c r="AU549">
        <v>2005</v>
      </c>
      <c r="AV549">
        <v>49</v>
      </c>
      <c r="AW549" t="s">
        <v>485</v>
      </c>
      <c r="AX549" t="s">
        <v>74</v>
      </c>
      <c r="AY549" t="s">
        <v>74</v>
      </c>
      <c r="AZ549" t="s">
        <v>74</v>
      </c>
      <c r="BA549" t="s">
        <v>74</v>
      </c>
      <c r="BB549">
        <v>63</v>
      </c>
      <c r="BC549">
        <v>74</v>
      </c>
      <c r="BD549" t="s">
        <v>74</v>
      </c>
      <c r="BE549" t="s">
        <v>8636</v>
      </c>
      <c r="BF549" t="str">
        <f>HYPERLINK("http://dx.doi.org/10.1016/j.gloplacha.2005.05.003","http://dx.doi.org/10.1016/j.gloplacha.2005.05.003")</f>
        <v>http://dx.doi.org/10.1016/j.gloplacha.2005.05.003</v>
      </c>
      <c r="BG549" t="s">
        <v>74</v>
      </c>
      <c r="BH549" t="s">
        <v>74</v>
      </c>
      <c r="BI549">
        <v>12</v>
      </c>
      <c r="BJ549" t="s">
        <v>2246</v>
      </c>
      <c r="BK549" t="s">
        <v>98</v>
      </c>
      <c r="BL549" t="s">
        <v>1531</v>
      </c>
      <c r="BM549" t="s">
        <v>8637</v>
      </c>
      <c r="BN549" t="s">
        <v>74</v>
      </c>
      <c r="BO549" t="s">
        <v>74</v>
      </c>
      <c r="BP549" t="s">
        <v>74</v>
      </c>
      <c r="BQ549" t="s">
        <v>74</v>
      </c>
      <c r="BR549" t="s">
        <v>101</v>
      </c>
      <c r="BS549" t="s">
        <v>8638</v>
      </c>
      <c r="BT549" t="str">
        <f>HYPERLINK("https%3A%2F%2Fwww.webofscience.com%2Fwos%2Fwoscc%2Ffull-record%2FWOS:000233523100005","View Full Record in Web of Science")</f>
        <v>View Full Record in Web of Science</v>
      </c>
    </row>
    <row r="550" spans="1:72" x14ac:dyDescent="0.15">
      <c r="A550" t="s">
        <v>72</v>
      </c>
      <c r="B550" t="s">
        <v>8639</v>
      </c>
      <c r="C550" t="s">
        <v>74</v>
      </c>
      <c r="D550" t="s">
        <v>74</v>
      </c>
      <c r="E550" t="s">
        <v>74</v>
      </c>
      <c r="F550" t="s">
        <v>8639</v>
      </c>
      <c r="G550" t="s">
        <v>74</v>
      </c>
      <c r="H550" t="s">
        <v>74</v>
      </c>
      <c r="I550" t="s">
        <v>8640</v>
      </c>
      <c r="J550" t="s">
        <v>8624</v>
      </c>
      <c r="K550" t="s">
        <v>74</v>
      </c>
      <c r="L550" t="s">
        <v>74</v>
      </c>
      <c r="M550" t="s">
        <v>77</v>
      </c>
      <c r="N550" t="s">
        <v>78</v>
      </c>
      <c r="O550" t="s">
        <v>74</v>
      </c>
      <c r="P550" t="s">
        <v>74</v>
      </c>
      <c r="Q550" t="s">
        <v>74</v>
      </c>
      <c r="R550" t="s">
        <v>74</v>
      </c>
      <c r="S550" t="s">
        <v>74</v>
      </c>
      <c r="T550" t="s">
        <v>8641</v>
      </c>
      <c r="U550" t="s">
        <v>8642</v>
      </c>
      <c r="V550" t="s">
        <v>8643</v>
      </c>
      <c r="W550" t="s">
        <v>8644</v>
      </c>
      <c r="X550" t="s">
        <v>8645</v>
      </c>
      <c r="Y550" t="s">
        <v>8646</v>
      </c>
      <c r="Z550" t="s">
        <v>8647</v>
      </c>
      <c r="AA550" t="s">
        <v>8648</v>
      </c>
      <c r="AB550" t="s">
        <v>8649</v>
      </c>
      <c r="AC550" t="s">
        <v>74</v>
      </c>
      <c r="AD550" t="s">
        <v>74</v>
      </c>
      <c r="AE550" t="s">
        <v>74</v>
      </c>
      <c r="AF550" t="s">
        <v>74</v>
      </c>
      <c r="AG550">
        <v>59</v>
      </c>
      <c r="AH550">
        <v>102</v>
      </c>
      <c r="AI550">
        <v>112</v>
      </c>
      <c r="AJ550">
        <v>1</v>
      </c>
      <c r="AK550">
        <v>15</v>
      </c>
      <c r="AL550" t="s">
        <v>3283</v>
      </c>
      <c r="AM550" t="s">
        <v>1148</v>
      </c>
      <c r="AN550" t="s">
        <v>3284</v>
      </c>
      <c r="AO550" t="s">
        <v>8632</v>
      </c>
      <c r="AP550" t="s">
        <v>8633</v>
      </c>
      <c r="AQ550" t="s">
        <v>74</v>
      </c>
      <c r="AR550" t="s">
        <v>8634</v>
      </c>
      <c r="AS550" t="s">
        <v>8635</v>
      </c>
      <c r="AT550" t="s">
        <v>7971</v>
      </c>
      <c r="AU550">
        <v>2005</v>
      </c>
      <c r="AV550">
        <v>49</v>
      </c>
      <c r="AW550" t="s">
        <v>485</v>
      </c>
      <c r="AX550" t="s">
        <v>74</v>
      </c>
      <c r="AY550" t="s">
        <v>74</v>
      </c>
      <c r="AZ550" t="s">
        <v>74</v>
      </c>
      <c r="BA550" t="s">
        <v>74</v>
      </c>
      <c r="BB550">
        <v>75</v>
      </c>
      <c r="BC550">
        <v>93</v>
      </c>
      <c r="BD550" t="s">
        <v>74</v>
      </c>
      <c r="BE550" t="s">
        <v>8650</v>
      </c>
      <c r="BF550" t="str">
        <f>HYPERLINK("http://dx.doi.org/10.1016/j.gloplacha.2005.05.004","http://dx.doi.org/10.1016/j.gloplacha.2005.05.004")</f>
        <v>http://dx.doi.org/10.1016/j.gloplacha.2005.05.004</v>
      </c>
      <c r="BG550" t="s">
        <v>74</v>
      </c>
      <c r="BH550" t="s">
        <v>74</v>
      </c>
      <c r="BI550">
        <v>19</v>
      </c>
      <c r="BJ550" t="s">
        <v>2246</v>
      </c>
      <c r="BK550" t="s">
        <v>98</v>
      </c>
      <c r="BL550" t="s">
        <v>1531</v>
      </c>
      <c r="BM550" t="s">
        <v>8637</v>
      </c>
      <c r="BN550" t="s">
        <v>74</v>
      </c>
      <c r="BO550" t="s">
        <v>74</v>
      </c>
      <c r="BP550" t="s">
        <v>74</v>
      </c>
      <c r="BQ550" t="s">
        <v>74</v>
      </c>
      <c r="BR550" t="s">
        <v>101</v>
      </c>
      <c r="BS550" t="s">
        <v>8651</v>
      </c>
      <c r="BT550" t="str">
        <f>HYPERLINK("https%3A%2F%2Fwww.webofscience.com%2Fwos%2Fwoscc%2Ffull-record%2FWOS:000233523100006","View Full Record in Web of Science")</f>
        <v>View Full Record in Web of Science</v>
      </c>
    </row>
    <row r="551" spans="1:72" x14ac:dyDescent="0.15">
      <c r="A551" t="s">
        <v>72</v>
      </c>
      <c r="B551" t="s">
        <v>8652</v>
      </c>
      <c r="C551" t="s">
        <v>74</v>
      </c>
      <c r="D551" t="s">
        <v>74</v>
      </c>
      <c r="E551" t="s">
        <v>74</v>
      </c>
      <c r="F551" t="s">
        <v>8652</v>
      </c>
      <c r="G551" t="s">
        <v>74</v>
      </c>
      <c r="H551" t="s">
        <v>74</v>
      </c>
      <c r="I551" t="s">
        <v>8653</v>
      </c>
      <c r="J551" t="s">
        <v>8654</v>
      </c>
      <c r="K551" t="s">
        <v>74</v>
      </c>
      <c r="L551" t="s">
        <v>74</v>
      </c>
      <c r="M551" t="s">
        <v>77</v>
      </c>
      <c r="N551" t="s">
        <v>78</v>
      </c>
      <c r="O551" t="s">
        <v>74</v>
      </c>
      <c r="P551" t="s">
        <v>74</v>
      </c>
      <c r="Q551" t="s">
        <v>74</v>
      </c>
      <c r="R551" t="s">
        <v>74</v>
      </c>
      <c r="S551" t="s">
        <v>74</v>
      </c>
      <c r="T551" t="s">
        <v>8655</v>
      </c>
      <c r="U551" t="s">
        <v>8656</v>
      </c>
      <c r="V551" t="s">
        <v>8657</v>
      </c>
      <c r="W551" t="s">
        <v>8658</v>
      </c>
      <c r="X551" t="s">
        <v>8659</v>
      </c>
      <c r="Y551" t="s">
        <v>8660</v>
      </c>
      <c r="Z551" t="s">
        <v>8661</v>
      </c>
      <c r="AA551" t="s">
        <v>8662</v>
      </c>
      <c r="AB551" t="s">
        <v>74</v>
      </c>
      <c r="AC551" t="s">
        <v>74</v>
      </c>
      <c r="AD551" t="s">
        <v>74</v>
      </c>
      <c r="AE551" t="s">
        <v>74</v>
      </c>
      <c r="AF551" t="s">
        <v>74</v>
      </c>
      <c r="AG551">
        <v>66</v>
      </c>
      <c r="AH551">
        <v>53</v>
      </c>
      <c r="AI551">
        <v>60</v>
      </c>
      <c r="AJ551">
        <v>1</v>
      </c>
      <c r="AK551">
        <v>33</v>
      </c>
      <c r="AL551" t="s">
        <v>2025</v>
      </c>
      <c r="AM551" t="s">
        <v>2026</v>
      </c>
      <c r="AN551" t="s">
        <v>2027</v>
      </c>
      <c r="AO551" t="s">
        <v>8663</v>
      </c>
      <c r="AP551" t="s">
        <v>8664</v>
      </c>
      <c r="AQ551" t="s">
        <v>74</v>
      </c>
      <c r="AR551" t="s">
        <v>8665</v>
      </c>
      <c r="AS551" t="s">
        <v>8666</v>
      </c>
      <c r="AT551" t="s">
        <v>7971</v>
      </c>
      <c r="AU551">
        <v>2005</v>
      </c>
      <c r="AV551">
        <v>14</v>
      </c>
      <c r="AW551">
        <v>6</v>
      </c>
      <c r="AX551" t="s">
        <v>74</v>
      </c>
      <c r="AY551" t="s">
        <v>74</v>
      </c>
      <c r="AZ551" t="s">
        <v>74</v>
      </c>
      <c r="BA551" t="s">
        <v>74</v>
      </c>
      <c r="BB551">
        <v>521</v>
      </c>
      <c r="BC551">
        <v>528</v>
      </c>
      <c r="BD551" t="s">
        <v>74</v>
      </c>
      <c r="BE551" t="s">
        <v>8667</v>
      </c>
      <c r="BF551" t="str">
        <f>HYPERLINK("http://dx.doi.org/10.1111/j.1466-822x.2005.00173.x","http://dx.doi.org/10.1111/j.1466-822x.2005.00173.x")</f>
        <v>http://dx.doi.org/10.1111/j.1466-822x.2005.00173.x</v>
      </c>
      <c r="BG551" t="s">
        <v>74</v>
      </c>
      <c r="BH551" t="s">
        <v>74</v>
      </c>
      <c r="BI551">
        <v>8</v>
      </c>
      <c r="BJ551" t="s">
        <v>8668</v>
      </c>
      <c r="BK551" t="s">
        <v>98</v>
      </c>
      <c r="BL551" t="s">
        <v>8007</v>
      </c>
      <c r="BM551" t="s">
        <v>8669</v>
      </c>
      <c r="BN551" t="s">
        <v>74</v>
      </c>
      <c r="BO551" t="s">
        <v>74</v>
      </c>
      <c r="BP551" t="s">
        <v>74</v>
      </c>
      <c r="BQ551" t="s">
        <v>74</v>
      </c>
      <c r="BR551" t="s">
        <v>101</v>
      </c>
      <c r="BS551" t="s">
        <v>8670</v>
      </c>
      <c r="BT551" t="str">
        <f>HYPERLINK("https%3A%2F%2Fwww.webofscience.com%2Fwos%2Fwoscc%2Ffull-record%2FWOS:000232772600003","View Full Record in Web of Science")</f>
        <v>View Full Record in Web of Science</v>
      </c>
    </row>
    <row r="552" spans="1:72" x14ac:dyDescent="0.15">
      <c r="A552" t="s">
        <v>72</v>
      </c>
      <c r="B552" t="s">
        <v>8671</v>
      </c>
      <c r="C552" t="s">
        <v>74</v>
      </c>
      <c r="D552" t="s">
        <v>74</v>
      </c>
      <c r="E552" t="s">
        <v>74</v>
      </c>
      <c r="F552" t="s">
        <v>8671</v>
      </c>
      <c r="G552" t="s">
        <v>74</v>
      </c>
      <c r="H552" t="s">
        <v>74</v>
      </c>
      <c r="I552" t="s">
        <v>8672</v>
      </c>
      <c r="J552" t="s">
        <v>8673</v>
      </c>
      <c r="K552" t="s">
        <v>74</v>
      </c>
      <c r="L552" t="s">
        <v>74</v>
      </c>
      <c r="M552" t="s">
        <v>77</v>
      </c>
      <c r="N552" t="s">
        <v>78</v>
      </c>
      <c r="O552" t="s">
        <v>74</v>
      </c>
      <c r="P552" t="s">
        <v>74</v>
      </c>
      <c r="Q552" t="s">
        <v>74</v>
      </c>
      <c r="R552" t="s">
        <v>74</v>
      </c>
      <c r="S552" t="s">
        <v>74</v>
      </c>
      <c r="T552" t="s">
        <v>8674</v>
      </c>
      <c r="U552" t="s">
        <v>8675</v>
      </c>
      <c r="V552" t="s">
        <v>8676</v>
      </c>
      <c r="W552" t="s">
        <v>8677</v>
      </c>
      <c r="X552" t="s">
        <v>8678</v>
      </c>
      <c r="Y552" t="s">
        <v>8679</v>
      </c>
      <c r="Z552" t="s">
        <v>8680</v>
      </c>
      <c r="AA552" t="s">
        <v>8681</v>
      </c>
      <c r="AB552" t="s">
        <v>8682</v>
      </c>
      <c r="AC552" t="s">
        <v>74</v>
      </c>
      <c r="AD552" t="s">
        <v>74</v>
      </c>
      <c r="AE552" t="s">
        <v>74</v>
      </c>
      <c r="AF552" t="s">
        <v>74</v>
      </c>
      <c r="AG552">
        <v>28</v>
      </c>
      <c r="AH552">
        <v>7</v>
      </c>
      <c r="AI552">
        <v>9</v>
      </c>
      <c r="AJ552">
        <v>0</v>
      </c>
      <c r="AK552">
        <v>7</v>
      </c>
      <c r="AL552" t="s">
        <v>8683</v>
      </c>
      <c r="AM552" t="s">
        <v>1055</v>
      </c>
      <c r="AN552" t="s">
        <v>8684</v>
      </c>
      <c r="AO552" t="s">
        <v>8685</v>
      </c>
      <c r="AP552" t="s">
        <v>8686</v>
      </c>
      <c r="AQ552" t="s">
        <v>74</v>
      </c>
      <c r="AR552" t="s">
        <v>8687</v>
      </c>
      <c r="AS552" t="s">
        <v>8688</v>
      </c>
      <c r="AT552" t="s">
        <v>7971</v>
      </c>
      <c r="AU552">
        <v>2005</v>
      </c>
      <c r="AV552">
        <v>59</v>
      </c>
      <c r="AW552">
        <v>4</v>
      </c>
      <c r="AX552" t="s">
        <v>74</v>
      </c>
      <c r="AY552" t="s">
        <v>74</v>
      </c>
      <c r="AZ552" t="s">
        <v>74</v>
      </c>
      <c r="BA552" t="s">
        <v>74</v>
      </c>
      <c r="BB552">
        <v>301</v>
      </c>
      <c r="BC552">
        <v>309</v>
      </c>
      <c r="BD552" t="s">
        <v>74</v>
      </c>
      <c r="BE552" t="s">
        <v>8689</v>
      </c>
      <c r="BF552" t="str">
        <f>HYPERLINK("http://dx.doi.org/10.1007/s10152-005-0005-4","http://dx.doi.org/10.1007/s10152-005-0005-4")</f>
        <v>http://dx.doi.org/10.1007/s10152-005-0005-4</v>
      </c>
      <c r="BG552" t="s">
        <v>74</v>
      </c>
      <c r="BH552" t="s">
        <v>74</v>
      </c>
      <c r="BI552">
        <v>9</v>
      </c>
      <c r="BJ552" t="s">
        <v>3720</v>
      </c>
      <c r="BK552" t="s">
        <v>98</v>
      </c>
      <c r="BL552" t="s">
        <v>3720</v>
      </c>
      <c r="BM552" t="s">
        <v>8690</v>
      </c>
      <c r="BN552" t="s">
        <v>74</v>
      </c>
      <c r="BO552" t="s">
        <v>5268</v>
      </c>
      <c r="BP552" t="s">
        <v>74</v>
      </c>
      <c r="BQ552" t="s">
        <v>74</v>
      </c>
      <c r="BR552" t="s">
        <v>101</v>
      </c>
      <c r="BS552" t="s">
        <v>8691</v>
      </c>
      <c r="BT552" t="str">
        <f>HYPERLINK("https%3A%2F%2Fwww.webofscience.com%2Fwos%2Fwoscc%2Ffull-record%2FWOS:000232988400005","View Full Record in Web of Science")</f>
        <v>View Full Record in Web of Science</v>
      </c>
    </row>
    <row r="553" spans="1:72" x14ac:dyDescent="0.15">
      <c r="A553" t="s">
        <v>72</v>
      </c>
      <c r="B553" t="s">
        <v>8692</v>
      </c>
      <c r="C553" t="s">
        <v>74</v>
      </c>
      <c r="D553" t="s">
        <v>74</v>
      </c>
      <c r="E553" t="s">
        <v>74</v>
      </c>
      <c r="F553" t="s">
        <v>8692</v>
      </c>
      <c r="G553" t="s">
        <v>74</v>
      </c>
      <c r="H553" t="s">
        <v>74</v>
      </c>
      <c r="I553" t="s">
        <v>8693</v>
      </c>
      <c r="J553" t="s">
        <v>8673</v>
      </c>
      <c r="K553" t="s">
        <v>74</v>
      </c>
      <c r="L553" t="s">
        <v>74</v>
      </c>
      <c r="M553" t="s">
        <v>77</v>
      </c>
      <c r="N553" t="s">
        <v>78</v>
      </c>
      <c r="O553" t="s">
        <v>74</v>
      </c>
      <c r="P553" t="s">
        <v>74</v>
      </c>
      <c r="Q553" t="s">
        <v>74</v>
      </c>
      <c r="R553" t="s">
        <v>74</v>
      </c>
      <c r="S553" t="s">
        <v>74</v>
      </c>
      <c r="T553" t="s">
        <v>8694</v>
      </c>
      <c r="U553" t="s">
        <v>8695</v>
      </c>
      <c r="V553" t="s">
        <v>8696</v>
      </c>
      <c r="W553" t="s">
        <v>8697</v>
      </c>
      <c r="X553" t="s">
        <v>8698</v>
      </c>
      <c r="Y553" t="s">
        <v>8699</v>
      </c>
      <c r="Z553" t="s">
        <v>8700</v>
      </c>
      <c r="AA553" t="s">
        <v>8701</v>
      </c>
      <c r="AB553" t="s">
        <v>8702</v>
      </c>
      <c r="AC553" t="s">
        <v>74</v>
      </c>
      <c r="AD553" t="s">
        <v>74</v>
      </c>
      <c r="AE553" t="s">
        <v>74</v>
      </c>
      <c r="AF553" t="s">
        <v>74</v>
      </c>
      <c r="AG553">
        <v>7</v>
      </c>
      <c r="AH553">
        <v>16</v>
      </c>
      <c r="AI553">
        <v>16</v>
      </c>
      <c r="AJ553">
        <v>0</v>
      </c>
      <c r="AK553">
        <v>6</v>
      </c>
      <c r="AL553" t="s">
        <v>88</v>
      </c>
      <c r="AM553" t="s">
        <v>89</v>
      </c>
      <c r="AN553" t="s">
        <v>4001</v>
      </c>
      <c r="AO553" t="s">
        <v>8685</v>
      </c>
      <c r="AP553" t="s">
        <v>74</v>
      </c>
      <c r="AQ553" t="s">
        <v>74</v>
      </c>
      <c r="AR553" t="s">
        <v>8687</v>
      </c>
      <c r="AS553" t="s">
        <v>8688</v>
      </c>
      <c r="AT553" t="s">
        <v>7971</v>
      </c>
      <c r="AU553">
        <v>2005</v>
      </c>
      <c r="AV553">
        <v>59</v>
      </c>
      <c r="AW553">
        <v>4</v>
      </c>
      <c r="AX553" t="s">
        <v>74</v>
      </c>
      <c r="AY553" t="s">
        <v>74</v>
      </c>
      <c r="AZ553" t="s">
        <v>74</v>
      </c>
      <c r="BA553" t="s">
        <v>74</v>
      </c>
      <c r="BB553">
        <v>315</v>
      </c>
      <c r="BC553">
        <v>322</v>
      </c>
      <c r="BD553" t="s">
        <v>74</v>
      </c>
      <c r="BE553" t="s">
        <v>8703</v>
      </c>
      <c r="BF553" t="str">
        <f>HYPERLINK("http://dx.doi.org/10.1007/s10152-005-0007-2","http://dx.doi.org/10.1007/s10152-005-0007-2")</f>
        <v>http://dx.doi.org/10.1007/s10152-005-0007-2</v>
      </c>
      <c r="BG553" t="s">
        <v>74</v>
      </c>
      <c r="BH553" t="s">
        <v>74</v>
      </c>
      <c r="BI553">
        <v>8</v>
      </c>
      <c r="BJ553" t="s">
        <v>3720</v>
      </c>
      <c r="BK553" t="s">
        <v>98</v>
      </c>
      <c r="BL553" t="s">
        <v>3720</v>
      </c>
      <c r="BM553" t="s">
        <v>8690</v>
      </c>
      <c r="BN553" t="s">
        <v>74</v>
      </c>
      <c r="BO553" t="s">
        <v>5301</v>
      </c>
      <c r="BP553" t="s">
        <v>74</v>
      </c>
      <c r="BQ553" t="s">
        <v>74</v>
      </c>
      <c r="BR553" t="s">
        <v>101</v>
      </c>
      <c r="BS553" t="s">
        <v>8704</v>
      </c>
      <c r="BT553" t="str">
        <f>HYPERLINK("https%3A%2F%2Fwww.webofscience.com%2Fwos%2Fwoscc%2Ffull-record%2FWOS:000232988400007","View Full Record in Web of Science")</f>
        <v>View Full Record in Web of Science</v>
      </c>
    </row>
    <row r="554" spans="1:72" x14ac:dyDescent="0.15">
      <c r="A554" t="s">
        <v>72</v>
      </c>
      <c r="B554" t="s">
        <v>8705</v>
      </c>
      <c r="C554" t="s">
        <v>74</v>
      </c>
      <c r="D554" t="s">
        <v>74</v>
      </c>
      <c r="E554" t="s">
        <v>74</v>
      </c>
      <c r="F554" t="s">
        <v>8705</v>
      </c>
      <c r="G554" t="s">
        <v>74</v>
      </c>
      <c r="H554" t="s">
        <v>74</v>
      </c>
      <c r="I554" t="s">
        <v>8706</v>
      </c>
      <c r="J554" t="s">
        <v>8707</v>
      </c>
      <c r="K554" t="s">
        <v>74</v>
      </c>
      <c r="L554" t="s">
        <v>74</v>
      </c>
      <c r="M554" t="s">
        <v>77</v>
      </c>
      <c r="N554" t="s">
        <v>78</v>
      </c>
      <c r="O554" t="s">
        <v>74</v>
      </c>
      <c r="P554" t="s">
        <v>74</v>
      </c>
      <c r="Q554" t="s">
        <v>74</v>
      </c>
      <c r="R554" t="s">
        <v>74</v>
      </c>
      <c r="S554" t="s">
        <v>74</v>
      </c>
      <c r="T554" t="s">
        <v>8708</v>
      </c>
      <c r="U554" t="s">
        <v>8709</v>
      </c>
      <c r="V554" t="s">
        <v>8710</v>
      </c>
      <c r="W554" t="s">
        <v>8711</v>
      </c>
      <c r="X554" t="s">
        <v>74</v>
      </c>
      <c r="Y554" t="s">
        <v>8712</v>
      </c>
      <c r="Z554" t="s">
        <v>74</v>
      </c>
      <c r="AA554" t="s">
        <v>74</v>
      </c>
      <c r="AB554" t="s">
        <v>74</v>
      </c>
      <c r="AC554" t="s">
        <v>74</v>
      </c>
      <c r="AD554" t="s">
        <v>74</v>
      </c>
      <c r="AE554" t="s">
        <v>74</v>
      </c>
      <c r="AF554" t="s">
        <v>74</v>
      </c>
      <c r="AG554">
        <v>11</v>
      </c>
      <c r="AH554">
        <v>4</v>
      </c>
      <c r="AI554">
        <v>4</v>
      </c>
      <c r="AJ554">
        <v>0</v>
      </c>
      <c r="AK554">
        <v>0</v>
      </c>
      <c r="AL554" t="s">
        <v>8713</v>
      </c>
      <c r="AM554" t="s">
        <v>8714</v>
      </c>
      <c r="AN554" t="s">
        <v>8715</v>
      </c>
      <c r="AO554" t="s">
        <v>8716</v>
      </c>
      <c r="AP554" t="s">
        <v>74</v>
      </c>
      <c r="AQ554" t="s">
        <v>74</v>
      </c>
      <c r="AR554" t="s">
        <v>8717</v>
      </c>
      <c r="AS554" t="s">
        <v>8718</v>
      </c>
      <c r="AT554" t="s">
        <v>7971</v>
      </c>
      <c r="AU554">
        <v>2005</v>
      </c>
      <c r="AV554">
        <v>79</v>
      </c>
      <c r="AW554">
        <v>11</v>
      </c>
      <c r="AX554" t="s">
        <v>74</v>
      </c>
      <c r="AY554" t="s">
        <v>74</v>
      </c>
      <c r="AZ554" t="s">
        <v>74</v>
      </c>
      <c r="BA554" t="s">
        <v>74</v>
      </c>
      <c r="BB554">
        <v>1313</v>
      </c>
      <c r="BC554">
        <v>1317</v>
      </c>
      <c r="BD554" t="s">
        <v>74</v>
      </c>
      <c r="BE554" t="s">
        <v>74</v>
      </c>
      <c r="BF554" t="s">
        <v>74</v>
      </c>
      <c r="BG554" t="s">
        <v>74</v>
      </c>
      <c r="BH554" t="s">
        <v>74</v>
      </c>
      <c r="BI554">
        <v>5</v>
      </c>
      <c r="BJ554" t="s">
        <v>7627</v>
      </c>
      <c r="BK554" t="s">
        <v>98</v>
      </c>
      <c r="BL554" t="s">
        <v>3899</v>
      </c>
      <c r="BM554" t="s">
        <v>8719</v>
      </c>
      <c r="BN554" t="s">
        <v>74</v>
      </c>
      <c r="BO554" t="s">
        <v>74</v>
      </c>
      <c r="BP554" t="s">
        <v>74</v>
      </c>
      <c r="BQ554" t="s">
        <v>74</v>
      </c>
      <c r="BR554" t="s">
        <v>101</v>
      </c>
      <c r="BS554" t="s">
        <v>8720</v>
      </c>
      <c r="BT554" t="str">
        <f>HYPERLINK("https%3A%2F%2Fwww.webofscience.com%2Fwos%2Fwoscc%2Ffull-record%2FWOS:000233801200012","View Full Record in Web of Science")</f>
        <v>View Full Record in Web of Science</v>
      </c>
    </row>
    <row r="555" spans="1:72" x14ac:dyDescent="0.15">
      <c r="A555" t="s">
        <v>72</v>
      </c>
      <c r="B555" t="s">
        <v>8721</v>
      </c>
      <c r="C555" t="s">
        <v>74</v>
      </c>
      <c r="D555" t="s">
        <v>74</v>
      </c>
      <c r="E555" t="s">
        <v>74</v>
      </c>
      <c r="F555" t="s">
        <v>8721</v>
      </c>
      <c r="G555" t="s">
        <v>74</v>
      </c>
      <c r="H555" t="s">
        <v>74</v>
      </c>
      <c r="I555" t="s">
        <v>8722</v>
      </c>
      <c r="J555" t="s">
        <v>6223</v>
      </c>
      <c r="K555" t="s">
        <v>74</v>
      </c>
      <c r="L555" t="s">
        <v>74</v>
      </c>
      <c r="M555" t="s">
        <v>77</v>
      </c>
      <c r="N555" t="s">
        <v>335</v>
      </c>
      <c r="O555" t="s">
        <v>8723</v>
      </c>
      <c r="P555" t="s">
        <v>8724</v>
      </c>
      <c r="Q555" t="s">
        <v>1095</v>
      </c>
      <c r="R555" t="s">
        <v>74</v>
      </c>
      <c r="S555" t="s">
        <v>74</v>
      </c>
      <c r="T555" t="s">
        <v>74</v>
      </c>
      <c r="U555" t="s">
        <v>8725</v>
      </c>
      <c r="V555" t="s">
        <v>8726</v>
      </c>
      <c r="W555" t="s">
        <v>8727</v>
      </c>
      <c r="X555" t="s">
        <v>8728</v>
      </c>
      <c r="Y555" t="s">
        <v>8729</v>
      </c>
      <c r="Z555" t="s">
        <v>8730</v>
      </c>
      <c r="AA555" t="s">
        <v>5838</v>
      </c>
      <c r="AB555" t="s">
        <v>74</v>
      </c>
      <c r="AC555" t="s">
        <v>3874</v>
      </c>
      <c r="AD555" t="s">
        <v>3875</v>
      </c>
      <c r="AE555" t="s">
        <v>74</v>
      </c>
      <c r="AF555" t="s">
        <v>74</v>
      </c>
      <c r="AG555">
        <v>84</v>
      </c>
      <c r="AH555">
        <v>61</v>
      </c>
      <c r="AI555">
        <v>81</v>
      </c>
      <c r="AJ555">
        <v>1</v>
      </c>
      <c r="AK555">
        <v>22</v>
      </c>
      <c r="AL555" t="s">
        <v>6231</v>
      </c>
      <c r="AM555" t="s">
        <v>6232</v>
      </c>
      <c r="AN555" t="s">
        <v>6233</v>
      </c>
      <c r="AO555" t="s">
        <v>6234</v>
      </c>
      <c r="AP555" t="s">
        <v>6235</v>
      </c>
      <c r="AQ555" t="s">
        <v>74</v>
      </c>
      <c r="AR555" t="s">
        <v>6236</v>
      </c>
      <c r="AS555" t="s">
        <v>6237</v>
      </c>
      <c r="AT555" t="s">
        <v>7971</v>
      </c>
      <c r="AU555">
        <v>2005</v>
      </c>
      <c r="AV555">
        <v>45</v>
      </c>
      <c r="AW555">
        <v>5</v>
      </c>
      <c r="AX555" t="s">
        <v>74</v>
      </c>
      <c r="AY555" t="s">
        <v>74</v>
      </c>
      <c r="AZ555" t="s">
        <v>74</v>
      </c>
      <c r="BA555" t="s">
        <v>74</v>
      </c>
      <c r="BB555">
        <v>741</v>
      </c>
      <c r="BC555">
        <v>750</v>
      </c>
      <c r="BD555" t="s">
        <v>74</v>
      </c>
      <c r="BE555" t="s">
        <v>8731</v>
      </c>
      <c r="BF555" t="str">
        <f>HYPERLINK("http://dx.doi.org/10.1093/icb/45.5.741","http://dx.doi.org/10.1093/icb/45.5.741")</f>
        <v>http://dx.doi.org/10.1093/icb/45.5.741</v>
      </c>
      <c r="BG555" t="s">
        <v>74</v>
      </c>
      <c r="BH555" t="s">
        <v>74</v>
      </c>
      <c r="BI555">
        <v>10</v>
      </c>
      <c r="BJ555" t="s">
        <v>532</v>
      </c>
      <c r="BK555" t="s">
        <v>1411</v>
      </c>
      <c r="BL555" t="s">
        <v>532</v>
      </c>
      <c r="BM555" t="s">
        <v>8732</v>
      </c>
      <c r="BN555">
        <v>21676825</v>
      </c>
      <c r="BO555" t="s">
        <v>1900</v>
      </c>
      <c r="BP555" t="s">
        <v>74</v>
      </c>
      <c r="BQ555" t="s">
        <v>74</v>
      </c>
      <c r="BR555" t="s">
        <v>101</v>
      </c>
      <c r="BS555" t="s">
        <v>8733</v>
      </c>
      <c r="BT555" t="str">
        <f>HYPERLINK("https%3A%2F%2Fwww.webofscience.com%2Fwos%2Fwoscc%2Ffull-record%2FWOS:000234240100009","View Full Record in Web of Science")</f>
        <v>View Full Record in Web of Science</v>
      </c>
    </row>
    <row r="556" spans="1:72" x14ac:dyDescent="0.15">
      <c r="A556" t="s">
        <v>72</v>
      </c>
      <c r="B556" t="s">
        <v>8734</v>
      </c>
      <c r="C556" t="s">
        <v>74</v>
      </c>
      <c r="D556" t="s">
        <v>74</v>
      </c>
      <c r="E556" t="s">
        <v>74</v>
      </c>
      <c r="F556" t="s">
        <v>8734</v>
      </c>
      <c r="G556" t="s">
        <v>74</v>
      </c>
      <c r="H556" t="s">
        <v>74</v>
      </c>
      <c r="I556" t="s">
        <v>8735</v>
      </c>
      <c r="J556" t="s">
        <v>2038</v>
      </c>
      <c r="K556" t="s">
        <v>74</v>
      </c>
      <c r="L556" t="s">
        <v>74</v>
      </c>
      <c r="M556" t="s">
        <v>77</v>
      </c>
      <c r="N556" t="s">
        <v>78</v>
      </c>
      <c r="O556" t="s">
        <v>74</v>
      </c>
      <c r="P556" t="s">
        <v>74</v>
      </c>
      <c r="Q556" t="s">
        <v>74</v>
      </c>
      <c r="R556" t="s">
        <v>74</v>
      </c>
      <c r="S556" t="s">
        <v>74</v>
      </c>
      <c r="T556" t="s">
        <v>74</v>
      </c>
      <c r="U556" t="s">
        <v>8736</v>
      </c>
      <c r="V556" t="s">
        <v>8737</v>
      </c>
      <c r="W556" t="s">
        <v>8738</v>
      </c>
      <c r="X556" t="s">
        <v>8739</v>
      </c>
      <c r="Y556" t="s">
        <v>8740</v>
      </c>
      <c r="Z556" t="s">
        <v>8741</v>
      </c>
      <c r="AA556" t="s">
        <v>8742</v>
      </c>
      <c r="AB556" t="s">
        <v>8743</v>
      </c>
      <c r="AC556" t="s">
        <v>74</v>
      </c>
      <c r="AD556" t="s">
        <v>74</v>
      </c>
      <c r="AE556" t="s">
        <v>74</v>
      </c>
      <c r="AF556" t="s">
        <v>74</v>
      </c>
      <c r="AG556">
        <v>23</v>
      </c>
      <c r="AH556">
        <v>23</v>
      </c>
      <c r="AI556">
        <v>25</v>
      </c>
      <c r="AJ556">
        <v>1</v>
      </c>
      <c r="AK556">
        <v>13</v>
      </c>
      <c r="AL556" t="s">
        <v>8744</v>
      </c>
      <c r="AM556" t="s">
        <v>8745</v>
      </c>
      <c r="AN556" t="s">
        <v>8746</v>
      </c>
      <c r="AO556" t="s">
        <v>2049</v>
      </c>
      <c r="AP556" t="s">
        <v>74</v>
      </c>
      <c r="AQ556" t="s">
        <v>74</v>
      </c>
      <c r="AR556" t="s">
        <v>2051</v>
      </c>
      <c r="AS556" t="s">
        <v>2052</v>
      </c>
      <c r="AT556" t="s">
        <v>7971</v>
      </c>
      <c r="AU556">
        <v>2005</v>
      </c>
      <c r="AV556">
        <v>55</v>
      </c>
      <c r="AW556" t="s">
        <v>74</v>
      </c>
      <c r="AX556">
        <v>6</v>
      </c>
      <c r="AY556" t="s">
        <v>74</v>
      </c>
      <c r="AZ556" t="s">
        <v>74</v>
      </c>
      <c r="BA556" t="s">
        <v>74</v>
      </c>
      <c r="BB556">
        <v>2571</v>
      </c>
      <c r="BC556">
        <v>2575</v>
      </c>
      <c r="BD556" t="s">
        <v>74</v>
      </c>
      <c r="BE556" t="s">
        <v>8747</v>
      </c>
      <c r="BF556" t="str">
        <f>HYPERLINK("http://dx.doi.org/10.1099/ijs.0.63849-0","http://dx.doi.org/10.1099/ijs.0.63849-0")</f>
        <v>http://dx.doi.org/10.1099/ijs.0.63849-0</v>
      </c>
      <c r="BG556" t="s">
        <v>74</v>
      </c>
      <c r="BH556" t="s">
        <v>74</v>
      </c>
      <c r="BI556">
        <v>5</v>
      </c>
      <c r="BJ556" t="s">
        <v>2054</v>
      </c>
      <c r="BK556" t="s">
        <v>98</v>
      </c>
      <c r="BL556" t="s">
        <v>2054</v>
      </c>
      <c r="BM556" t="s">
        <v>8748</v>
      </c>
      <c r="BN556">
        <v>16280529</v>
      </c>
      <c r="BO556" t="s">
        <v>5301</v>
      </c>
      <c r="BP556" t="s">
        <v>74</v>
      </c>
      <c r="BQ556" t="s">
        <v>74</v>
      </c>
      <c r="BR556" t="s">
        <v>101</v>
      </c>
      <c r="BS556" t="s">
        <v>8749</v>
      </c>
      <c r="BT556" t="str">
        <f>HYPERLINK("https%3A%2F%2Fwww.webofscience.com%2Fwos%2Fwoscc%2Ffull-record%2FWOS:000233349200054","View Full Record in Web of Science")</f>
        <v>View Full Record in Web of Science</v>
      </c>
    </row>
    <row r="557" spans="1:72" x14ac:dyDescent="0.15">
      <c r="A557" t="s">
        <v>72</v>
      </c>
      <c r="B557" t="s">
        <v>8750</v>
      </c>
      <c r="C557" t="s">
        <v>74</v>
      </c>
      <c r="D557" t="s">
        <v>74</v>
      </c>
      <c r="E557" t="s">
        <v>74</v>
      </c>
      <c r="F557" t="s">
        <v>8750</v>
      </c>
      <c r="G557" t="s">
        <v>74</v>
      </c>
      <c r="H557" t="s">
        <v>74</v>
      </c>
      <c r="I557" t="s">
        <v>8751</v>
      </c>
      <c r="J557" t="s">
        <v>8752</v>
      </c>
      <c r="K557" t="s">
        <v>74</v>
      </c>
      <c r="L557" t="s">
        <v>74</v>
      </c>
      <c r="M557" t="s">
        <v>77</v>
      </c>
      <c r="N557" t="s">
        <v>78</v>
      </c>
      <c r="O557" t="s">
        <v>74</v>
      </c>
      <c r="P557" t="s">
        <v>74</v>
      </c>
      <c r="Q557" t="s">
        <v>74</v>
      </c>
      <c r="R557" t="s">
        <v>74</v>
      </c>
      <c r="S557" t="s">
        <v>74</v>
      </c>
      <c r="T557" t="s">
        <v>8753</v>
      </c>
      <c r="U557" t="s">
        <v>8754</v>
      </c>
      <c r="V557" t="s">
        <v>8755</v>
      </c>
      <c r="W557" t="s">
        <v>8756</v>
      </c>
      <c r="X557" t="s">
        <v>8757</v>
      </c>
      <c r="Y557" t="s">
        <v>8758</v>
      </c>
      <c r="Z557" t="s">
        <v>8759</v>
      </c>
      <c r="AA557" t="s">
        <v>8760</v>
      </c>
      <c r="AB557" t="s">
        <v>8761</v>
      </c>
      <c r="AC557" t="s">
        <v>74</v>
      </c>
      <c r="AD557" t="s">
        <v>74</v>
      </c>
      <c r="AE557" t="s">
        <v>74</v>
      </c>
      <c r="AF557" t="s">
        <v>74</v>
      </c>
      <c r="AG557">
        <v>47</v>
      </c>
      <c r="AH557">
        <v>66</v>
      </c>
      <c r="AI557">
        <v>76</v>
      </c>
      <c r="AJ557">
        <v>1</v>
      </c>
      <c r="AK557">
        <v>70</v>
      </c>
      <c r="AL557" t="s">
        <v>1873</v>
      </c>
      <c r="AM557" t="s">
        <v>140</v>
      </c>
      <c r="AN557" t="s">
        <v>1874</v>
      </c>
      <c r="AO557" t="s">
        <v>8762</v>
      </c>
      <c r="AP557" t="s">
        <v>74</v>
      </c>
      <c r="AQ557" t="s">
        <v>74</v>
      </c>
      <c r="AR557" t="s">
        <v>8763</v>
      </c>
      <c r="AS557" t="s">
        <v>8764</v>
      </c>
      <c r="AT557" t="s">
        <v>7971</v>
      </c>
      <c r="AU557">
        <v>2005</v>
      </c>
      <c r="AV557">
        <v>74</v>
      </c>
      <c r="AW557">
        <v>6</v>
      </c>
      <c r="AX557" t="s">
        <v>74</v>
      </c>
      <c r="AY557" t="s">
        <v>74</v>
      </c>
      <c r="AZ557" t="s">
        <v>74</v>
      </c>
      <c r="BA557" t="s">
        <v>74</v>
      </c>
      <c r="BB557">
        <v>1102</v>
      </c>
      <c r="BC557">
        <v>1111</v>
      </c>
      <c r="BD557" t="s">
        <v>74</v>
      </c>
      <c r="BE557" t="s">
        <v>8765</v>
      </c>
      <c r="BF557" t="str">
        <f>HYPERLINK("http://dx.doi.org/10.1111/j.1365-2656.2005.01009.x","http://dx.doi.org/10.1111/j.1365-2656.2005.01009.x")</f>
        <v>http://dx.doi.org/10.1111/j.1365-2656.2005.01009.x</v>
      </c>
      <c r="BG557" t="s">
        <v>74</v>
      </c>
      <c r="BH557" t="s">
        <v>74</v>
      </c>
      <c r="BI557">
        <v>10</v>
      </c>
      <c r="BJ557" t="s">
        <v>5025</v>
      </c>
      <c r="BK557" t="s">
        <v>98</v>
      </c>
      <c r="BL557" t="s">
        <v>5026</v>
      </c>
      <c r="BM557" t="s">
        <v>8766</v>
      </c>
      <c r="BN557" t="s">
        <v>74</v>
      </c>
      <c r="BO557" t="s">
        <v>1900</v>
      </c>
      <c r="BP557" t="s">
        <v>74</v>
      </c>
      <c r="BQ557" t="s">
        <v>74</v>
      </c>
      <c r="BR557" t="s">
        <v>101</v>
      </c>
      <c r="BS557" t="s">
        <v>8767</v>
      </c>
      <c r="BT557" t="str">
        <f>HYPERLINK("https%3A%2F%2Fwww.webofscience.com%2Fwos%2Fwoscc%2Ffull-record%2FWOS:000232995200011","View Full Record in Web of Science")</f>
        <v>View Full Record in Web of Science</v>
      </c>
    </row>
    <row r="558" spans="1:72" x14ac:dyDescent="0.15">
      <c r="A558" t="s">
        <v>72</v>
      </c>
      <c r="B558" t="s">
        <v>8768</v>
      </c>
      <c r="C558" t="s">
        <v>74</v>
      </c>
      <c r="D558" t="s">
        <v>74</v>
      </c>
      <c r="E558" t="s">
        <v>74</v>
      </c>
      <c r="F558" t="s">
        <v>8768</v>
      </c>
      <c r="G558" t="s">
        <v>74</v>
      </c>
      <c r="H558" t="s">
        <v>74</v>
      </c>
      <c r="I558" t="s">
        <v>8769</v>
      </c>
      <c r="J558" t="s">
        <v>8770</v>
      </c>
      <c r="K558" t="s">
        <v>74</v>
      </c>
      <c r="L558" t="s">
        <v>74</v>
      </c>
      <c r="M558" t="s">
        <v>77</v>
      </c>
      <c r="N558" t="s">
        <v>78</v>
      </c>
      <c r="O558" t="s">
        <v>74</v>
      </c>
      <c r="P558" t="s">
        <v>74</v>
      </c>
      <c r="Q558" t="s">
        <v>74</v>
      </c>
      <c r="R558" t="s">
        <v>74</v>
      </c>
      <c r="S558" t="s">
        <v>74</v>
      </c>
      <c r="T558" t="s">
        <v>74</v>
      </c>
      <c r="U558" t="s">
        <v>8771</v>
      </c>
      <c r="V558" t="s">
        <v>8772</v>
      </c>
      <c r="W558" t="s">
        <v>8773</v>
      </c>
      <c r="X558" t="s">
        <v>8774</v>
      </c>
      <c r="Y558" t="s">
        <v>8775</v>
      </c>
      <c r="Z558" t="s">
        <v>8776</v>
      </c>
      <c r="AA558" t="s">
        <v>74</v>
      </c>
      <c r="AB558" t="s">
        <v>74</v>
      </c>
      <c r="AC558" t="s">
        <v>74</v>
      </c>
      <c r="AD558" t="s">
        <v>74</v>
      </c>
      <c r="AE558" t="s">
        <v>74</v>
      </c>
      <c r="AF558" t="s">
        <v>74</v>
      </c>
      <c r="AG558">
        <v>35</v>
      </c>
      <c r="AH558">
        <v>76</v>
      </c>
      <c r="AI558">
        <v>80</v>
      </c>
      <c r="AJ558">
        <v>1</v>
      </c>
      <c r="AK558">
        <v>17</v>
      </c>
      <c r="AL558" t="s">
        <v>6583</v>
      </c>
      <c r="AM558" t="s">
        <v>6584</v>
      </c>
      <c r="AN558" t="s">
        <v>6612</v>
      </c>
      <c r="AO558" t="s">
        <v>8777</v>
      </c>
      <c r="AP558" t="s">
        <v>8778</v>
      </c>
      <c r="AQ558" t="s">
        <v>74</v>
      </c>
      <c r="AR558" t="s">
        <v>8779</v>
      </c>
      <c r="AS558" t="s">
        <v>8780</v>
      </c>
      <c r="AT558" t="s">
        <v>7971</v>
      </c>
      <c r="AU558">
        <v>2005</v>
      </c>
      <c r="AV558">
        <v>22</v>
      </c>
      <c r="AW558">
        <v>11</v>
      </c>
      <c r="AX558" t="s">
        <v>74</v>
      </c>
      <c r="AY558" t="s">
        <v>74</v>
      </c>
      <c r="AZ558" t="s">
        <v>74</v>
      </c>
      <c r="BA558" t="s">
        <v>74</v>
      </c>
      <c r="BB558">
        <v>1797</v>
      </c>
      <c r="BC558">
        <v>1808</v>
      </c>
      <c r="BD558" t="s">
        <v>74</v>
      </c>
      <c r="BE558" t="s">
        <v>8781</v>
      </c>
      <c r="BF558" t="str">
        <f>HYPERLINK("http://dx.doi.org/10.1175/JTECH1809.1","http://dx.doi.org/10.1175/JTECH1809.1")</f>
        <v>http://dx.doi.org/10.1175/JTECH1809.1</v>
      </c>
      <c r="BG558" t="s">
        <v>74</v>
      </c>
      <c r="BH558" t="s">
        <v>74</v>
      </c>
      <c r="BI558">
        <v>12</v>
      </c>
      <c r="BJ558" t="s">
        <v>8782</v>
      </c>
      <c r="BK558" t="s">
        <v>98</v>
      </c>
      <c r="BL558" t="s">
        <v>8783</v>
      </c>
      <c r="BM558" t="s">
        <v>8784</v>
      </c>
      <c r="BN558" t="s">
        <v>74</v>
      </c>
      <c r="BO558" t="s">
        <v>5268</v>
      </c>
      <c r="BP558" t="s">
        <v>74</v>
      </c>
      <c r="BQ558" t="s">
        <v>74</v>
      </c>
      <c r="BR558" t="s">
        <v>101</v>
      </c>
      <c r="BS558" t="s">
        <v>8785</v>
      </c>
      <c r="BT558" t="str">
        <f>HYPERLINK("https%3A%2F%2Fwww.webofscience.com%2Fwos%2Fwoscc%2Ffull-record%2FWOS:000233993900013","View Full Record in Web of Science")</f>
        <v>View Full Record in Web of Science</v>
      </c>
    </row>
    <row r="559" spans="1:72" x14ac:dyDescent="0.15">
      <c r="A559" t="s">
        <v>72</v>
      </c>
      <c r="B559" t="s">
        <v>8786</v>
      </c>
      <c r="C559" t="s">
        <v>74</v>
      </c>
      <c r="D559" t="s">
        <v>74</v>
      </c>
      <c r="E559" t="s">
        <v>74</v>
      </c>
      <c r="F559" t="s">
        <v>8786</v>
      </c>
      <c r="G559" t="s">
        <v>74</v>
      </c>
      <c r="H559" t="s">
        <v>74</v>
      </c>
      <c r="I559" t="s">
        <v>8787</v>
      </c>
      <c r="J559" t="s">
        <v>2123</v>
      </c>
      <c r="K559" t="s">
        <v>74</v>
      </c>
      <c r="L559" t="s">
        <v>74</v>
      </c>
      <c r="M559" t="s">
        <v>77</v>
      </c>
      <c r="N559" t="s">
        <v>78</v>
      </c>
      <c r="O559" t="s">
        <v>74</v>
      </c>
      <c r="P559" t="s">
        <v>74</v>
      </c>
      <c r="Q559" t="s">
        <v>74</v>
      </c>
      <c r="R559" t="s">
        <v>74</v>
      </c>
      <c r="S559" t="s">
        <v>74</v>
      </c>
      <c r="T559" t="s">
        <v>8788</v>
      </c>
      <c r="U559" t="s">
        <v>8789</v>
      </c>
      <c r="V559" t="s">
        <v>8790</v>
      </c>
      <c r="W559" t="s">
        <v>8791</v>
      </c>
      <c r="X559" t="s">
        <v>8792</v>
      </c>
      <c r="Y559" t="s">
        <v>8793</v>
      </c>
      <c r="Z559" t="s">
        <v>8794</v>
      </c>
      <c r="AA559" t="s">
        <v>74</v>
      </c>
      <c r="AB559" t="s">
        <v>74</v>
      </c>
      <c r="AC559" t="s">
        <v>74</v>
      </c>
      <c r="AD559" t="s">
        <v>74</v>
      </c>
      <c r="AE559" t="s">
        <v>74</v>
      </c>
      <c r="AF559" t="s">
        <v>74</v>
      </c>
      <c r="AG559">
        <v>28</v>
      </c>
      <c r="AH559">
        <v>6</v>
      </c>
      <c r="AI559">
        <v>7</v>
      </c>
      <c r="AJ559">
        <v>0</v>
      </c>
      <c r="AK559">
        <v>6</v>
      </c>
      <c r="AL559" t="s">
        <v>622</v>
      </c>
      <c r="AM559" t="s">
        <v>140</v>
      </c>
      <c r="AN559" t="s">
        <v>623</v>
      </c>
      <c r="AO559" t="s">
        <v>2137</v>
      </c>
      <c r="AP559" t="s">
        <v>74</v>
      </c>
      <c r="AQ559" t="s">
        <v>74</v>
      </c>
      <c r="AR559" t="s">
        <v>2139</v>
      </c>
      <c r="AS559" t="s">
        <v>2140</v>
      </c>
      <c r="AT559" t="s">
        <v>7971</v>
      </c>
      <c r="AU559">
        <v>2005</v>
      </c>
      <c r="AV559">
        <v>67</v>
      </c>
      <c r="AW559">
        <v>16</v>
      </c>
      <c r="AX559" t="s">
        <v>74</v>
      </c>
      <c r="AY559" t="s">
        <v>74</v>
      </c>
      <c r="AZ559" t="s">
        <v>74</v>
      </c>
      <c r="BA559" t="s">
        <v>74</v>
      </c>
      <c r="BB559">
        <v>1618</v>
      </c>
      <c r="BC559">
        <v>1625</v>
      </c>
      <c r="BD559" t="s">
        <v>74</v>
      </c>
      <c r="BE559" t="s">
        <v>8795</v>
      </c>
      <c r="BF559" t="str">
        <f>HYPERLINK("http://dx.doi.org/10.1016/j.jastp.2005.08.022","http://dx.doi.org/10.1016/j.jastp.2005.08.022")</f>
        <v>http://dx.doi.org/10.1016/j.jastp.2005.08.022</v>
      </c>
      <c r="BG559" t="s">
        <v>74</v>
      </c>
      <c r="BH559" t="s">
        <v>74</v>
      </c>
      <c r="BI559">
        <v>8</v>
      </c>
      <c r="BJ559" t="s">
        <v>2142</v>
      </c>
      <c r="BK559" t="s">
        <v>98</v>
      </c>
      <c r="BL559" t="s">
        <v>2142</v>
      </c>
      <c r="BM559" t="s">
        <v>8796</v>
      </c>
      <c r="BN559" t="s">
        <v>74</v>
      </c>
      <c r="BO559" t="s">
        <v>74</v>
      </c>
      <c r="BP559" t="s">
        <v>74</v>
      </c>
      <c r="BQ559" t="s">
        <v>74</v>
      </c>
      <c r="BR559" t="s">
        <v>101</v>
      </c>
      <c r="BS559" t="s">
        <v>8797</v>
      </c>
      <c r="BT559" t="str">
        <f>HYPERLINK("https%3A%2F%2Fwww.webofscience.com%2Fwos%2Fwoscc%2Ffull-record%2FWOS:000233878800015","View Full Record in Web of Science")</f>
        <v>View Full Record in Web of Science</v>
      </c>
    </row>
    <row r="560" spans="1:72" x14ac:dyDescent="0.15">
      <c r="A560" t="s">
        <v>72</v>
      </c>
      <c r="B560" t="s">
        <v>8798</v>
      </c>
      <c r="C560" t="s">
        <v>74</v>
      </c>
      <c r="D560" t="s">
        <v>74</v>
      </c>
      <c r="E560" t="s">
        <v>74</v>
      </c>
      <c r="F560" t="s">
        <v>8798</v>
      </c>
      <c r="G560" t="s">
        <v>74</v>
      </c>
      <c r="H560" t="s">
        <v>74</v>
      </c>
      <c r="I560" t="s">
        <v>8799</v>
      </c>
      <c r="J560" t="s">
        <v>8800</v>
      </c>
      <c r="K560" t="s">
        <v>74</v>
      </c>
      <c r="L560" t="s">
        <v>74</v>
      </c>
      <c r="M560" t="s">
        <v>77</v>
      </c>
      <c r="N560" t="s">
        <v>78</v>
      </c>
      <c r="O560" t="s">
        <v>74</v>
      </c>
      <c r="P560" t="s">
        <v>74</v>
      </c>
      <c r="Q560" t="s">
        <v>74</v>
      </c>
      <c r="R560" t="s">
        <v>74</v>
      </c>
      <c r="S560" t="s">
        <v>74</v>
      </c>
      <c r="T560" t="s">
        <v>74</v>
      </c>
      <c r="U560" t="s">
        <v>8801</v>
      </c>
      <c r="V560" t="s">
        <v>8802</v>
      </c>
      <c r="W560" t="s">
        <v>8803</v>
      </c>
      <c r="X560" t="s">
        <v>8804</v>
      </c>
      <c r="Y560" t="s">
        <v>8805</v>
      </c>
      <c r="Z560" t="s">
        <v>8806</v>
      </c>
      <c r="AA560" t="s">
        <v>74</v>
      </c>
      <c r="AB560" t="s">
        <v>74</v>
      </c>
      <c r="AC560" t="s">
        <v>74</v>
      </c>
      <c r="AD560" t="s">
        <v>74</v>
      </c>
      <c r="AE560" t="s">
        <v>74</v>
      </c>
      <c r="AF560" t="s">
        <v>74</v>
      </c>
      <c r="AG560">
        <v>25</v>
      </c>
      <c r="AH560">
        <v>18</v>
      </c>
      <c r="AI560">
        <v>20</v>
      </c>
      <c r="AJ560">
        <v>0</v>
      </c>
      <c r="AK560">
        <v>16</v>
      </c>
      <c r="AL560" t="s">
        <v>6583</v>
      </c>
      <c r="AM560" t="s">
        <v>6584</v>
      </c>
      <c r="AN560" t="s">
        <v>6585</v>
      </c>
      <c r="AO560" t="s">
        <v>8807</v>
      </c>
      <c r="AP560" t="s">
        <v>8808</v>
      </c>
      <c r="AQ560" t="s">
        <v>74</v>
      </c>
      <c r="AR560" t="s">
        <v>8809</v>
      </c>
      <c r="AS560" t="s">
        <v>8810</v>
      </c>
      <c r="AT560" t="s">
        <v>7971</v>
      </c>
      <c r="AU560">
        <v>2005</v>
      </c>
      <c r="AV560">
        <v>18</v>
      </c>
      <c r="AW560">
        <v>22</v>
      </c>
      <c r="AX560" t="s">
        <v>74</v>
      </c>
      <c r="AY560" t="s">
        <v>74</v>
      </c>
      <c r="AZ560" t="s">
        <v>74</v>
      </c>
      <c r="BA560" t="s">
        <v>74</v>
      </c>
      <c r="BB560">
        <v>4637</v>
      </c>
      <c r="BC560">
        <v>4648</v>
      </c>
      <c r="BD560" t="s">
        <v>74</v>
      </c>
      <c r="BE560" t="s">
        <v>8811</v>
      </c>
      <c r="BF560" t="str">
        <f>HYPERLINK("http://dx.doi.org/10.1175/JCLI3562.1","http://dx.doi.org/10.1175/JCLI3562.1")</f>
        <v>http://dx.doi.org/10.1175/JCLI3562.1</v>
      </c>
      <c r="BG560" t="s">
        <v>74</v>
      </c>
      <c r="BH560" t="s">
        <v>74</v>
      </c>
      <c r="BI560">
        <v>12</v>
      </c>
      <c r="BJ560" t="s">
        <v>2033</v>
      </c>
      <c r="BK560" t="s">
        <v>98</v>
      </c>
      <c r="BL560" t="s">
        <v>2033</v>
      </c>
      <c r="BM560" t="s">
        <v>8812</v>
      </c>
      <c r="BN560" t="s">
        <v>74</v>
      </c>
      <c r="BO560" t="s">
        <v>2248</v>
      </c>
      <c r="BP560" t="s">
        <v>74</v>
      </c>
      <c r="BQ560" t="s">
        <v>74</v>
      </c>
      <c r="BR560" t="s">
        <v>101</v>
      </c>
      <c r="BS560" t="s">
        <v>8813</v>
      </c>
      <c r="BT560" t="str">
        <f>HYPERLINK("https%3A%2F%2Fwww.webofscience.com%2Fwos%2Fwoscc%2Ffull-record%2FWOS:000234079900003","View Full Record in Web of Science")</f>
        <v>View Full Record in Web of Science</v>
      </c>
    </row>
    <row r="561" spans="1:72" x14ac:dyDescent="0.15">
      <c r="A561" t="s">
        <v>72</v>
      </c>
      <c r="B561" t="s">
        <v>8814</v>
      </c>
      <c r="C561" t="s">
        <v>74</v>
      </c>
      <c r="D561" t="s">
        <v>74</v>
      </c>
      <c r="E561" t="s">
        <v>74</v>
      </c>
      <c r="F561" t="s">
        <v>8814</v>
      </c>
      <c r="G561" t="s">
        <v>74</v>
      </c>
      <c r="H561" t="s">
        <v>74</v>
      </c>
      <c r="I561" t="s">
        <v>8815</v>
      </c>
      <c r="J561" t="s">
        <v>8816</v>
      </c>
      <c r="K561" t="s">
        <v>74</v>
      </c>
      <c r="L561" t="s">
        <v>74</v>
      </c>
      <c r="M561" t="s">
        <v>77</v>
      </c>
      <c r="N561" t="s">
        <v>78</v>
      </c>
      <c r="O561" t="s">
        <v>74</v>
      </c>
      <c r="P561" t="s">
        <v>74</v>
      </c>
      <c r="Q561" t="s">
        <v>74</v>
      </c>
      <c r="R561" t="s">
        <v>74</v>
      </c>
      <c r="S561" t="s">
        <v>74</v>
      </c>
      <c r="T561" t="s">
        <v>74</v>
      </c>
      <c r="U561" t="s">
        <v>8817</v>
      </c>
      <c r="V561" t="s">
        <v>8818</v>
      </c>
      <c r="W561" t="s">
        <v>8819</v>
      </c>
      <c r="X561" t="s">
        <v>8820</v>
      </c>
      <c r="Y561" t="s">
        <v>5407</v>
      </c>
      <c r="Z561" t="s">
        <v>2805</v>
      </c>
      <c r="AA561" t="s">
        <v>74</v>
      </c>
      <c r="AB561" t="s">
        <v>74</v>
      </c>
      <c r="AC561" t="s">
        <v>74</v>
      </c>
      <c r="AD561" t="s">
        <v>74</v>
      </c>
      <c r="AE561" t="s">
        <v>74</v>
      </c>
      <c r="AF561" t="s">
        <v>74</v>
      </c>
      <c r="AG561">
        <v>43</v>
      </c>
      <c r="AH561">
        <v>64</v>
      </c>
      <c r="AI561">
        <v>75</v>
      </c>
      <c r="AJ561">
        <v>2</v>
      </c>
      <c r="AK561">
        <v>20</v>
      </c>
      <c r="AL561" t="s">
        <v>2025</v>
      </c>
      <c r="AM561" t="s">
        <v>2026</v>
      </c>
      <c r="AN561" t="s">
        <v>2027</v>
      </c>
      <c r="AO561" t="s">
        <v>8821</v>
      </c>
      <c r="AP561" t="s">
        <v>8822</v>
      </c>
      <c r="AQ561" t="s">
        <v>74</v>
      </c>
      <c r="AR561" t="s">
        <v>8823</v>
      </c>
      <c r="AS561" t="s">
        <v>8824</v>
      </c>
      <c r="AT561" t="s">
        <v>8295</v>
      </c>
      <c r="AU561">
        <v>2005</v>
      </c>
      <c r="AV561" t="s">
        <v>8825</v>
      </c>
      <c r="AW561">
        <v>11</v>
      </c>
      <c r="AX561" t="s">
        <v>74</v>
      </c>
      <c r="AY561" t="s">
        <v>74</v>
      </c>
      <c r="AZ561" t="s">
        <v>74</v>
      </c>
      <c r="BA561" t="s">
        <v>74</v>
      </c>
      <c r="BB561">
        <v>968</v>
      </c>
      <c r="BC561">
        <v>975</v>
      </c>
      <c r="BD561" t="s">
        <v>74</v>
      </c>
      <c r="BE561" t="s">
        <v>8826</v>
      </c>
      <c r="BF561" t="str">
        <f>HYPERLINK("http://dx.doi.org/10.1002/jez.a.211","http://dx.doi.org/10.1002/jez.a.211")</f>
        <v>http://dx.doi.org/10.1002/jez.a.211</v>
      </c>
      <c r="BG561" t="s">
        <v>74</v>
      </c>
      <c r="BH561" t="s">
        <v>74</v>
      </c>
      <c r="BI561">
        <v>8</v>
      </c>
      <c r="BJ561" t="s">
        <v>532</v>
      </c>
      <c r="BK561" t="s">
        <v>98</v>
      </c>
      <c r="BL561" t="s">
        <v>532</v>
      </c>
      <c r="BM561" t="s">
        <v>8827</v>
      </c>
      <c r="BN561">
        <v>16217805</v>
      </c>
      <c r="BO561" t="s">
        <v>1900</v>
      </c>
      <c r="BP561" t="s">
        <v>74</v>
      </c>
      <c r="BQ561" t="s">
        <v>74</v>
      </c>
      <c r="BR561" t="s">
        <v>101</v>
      </c>
      <c r="BS561" t="s">
        <v>8828</v>
      </c>
      <c r="BT561" t="str">
        <f>HYPERLINK("https%3A%2F%2Fwww.webofscience.com%2Fwos%2Fwoscc%2Ffull-record%2FWOS:000232939400004","View Full Record in Web of Science")</f>
        <v>View Full Record in Web of Science</v>
      </c>
    </row>
    <row r="562" spans="1:72" x14ac:dyDescent="0.15">
      <c r="A562" t="s">
        <v>72</v>
      </c>
      <c r="B562" t="s">
        <v>8829</v>
      </c>
      <c r="C562" t="s">
        <v>74</v>
      </c>
      <c r="D562" t="s">
        <v>74</v>
      </c>
      <c r="E562" t="s">
        <v>74</v>
      </c>
      <c r="F562" t="s">
        <v>8829</v>
      </c>
      <c r="G562" t="s">
        <v>74</v>
      </c>
      <c r="H562" t="s">
        <v>74</v>
      </c>
      <c r="I562" t="s">
        <v>8830</v>
      </c>
      <c r="J562" t="s">
        <v>8831</v>
      </c>
      <c r="K562" t="s">
        <v>74</v>
      </c>
      <c r="L562" t="s">
        <v>74</v>
      </c>
      <c r="M562" t="s">
        <v>77</v>
      </c>
      <c r="N562" t="s">
        <v>78</v>
      </c>
      <c r="O562" t="s">
        <v>74</v>
      </c>
      <c r="P562" t="s">
        <v>74</v>
      </c>
      <c r="Q562" t="s">
        <v>74</v>
      </c>
      <c r="R562" t="s">
        <v>74</v>
      </c>
      <c r="S562" t="s">
        <v>74</v>
      </c>
      <c r="T562" t="s">
        <v>74</v>
      </c>
      <c r="U562" t="s">
        <v>8832</v>
      </c>
      <c r="V562" t="s">
        <v>8833</v>
      </c>
      <c r="W562" t="s">
        <v>8834</v>
      </c>
      <c r="X562" t="s">
        <v>8835</v>
      </c>
      <c r="Y562" t="s">
        <v>8836</v>
      </c>
      <c r="Z562" t="s">
        <v>8837</v>
      </c>
      <c r="AA562" t="s">
        <v>8838</v>
      </c>
      <c r="AB562" t="s">
        <v>8839</v>
      </c>
      <c r="AC562" t="s">
        <v>74</v>
      </c>
      <c r="AD562" t="s">
        <v>74</v>
      </c>
      <c r="AE562" t="s">
        <v>74</v>
      </c>
      <c r="AF562" t="s">
        <v>74</v>
      </c>
      <c r="AG562">
        <v>59</v>
      </c>
      <c r="AH562">
        <v>25</v>
      </c>
      <c r="AI562">
        <v>28</v>
      </c>
      <c r="AJ562">
        <v>0</v>
      </c>
      <c r="AK562">
        <v>1</v>
      </c>
      <c r="AL562" t="s">
        <v>4487</v>
      </c>
      <c r="AM562" t="s">
        <v>2541</v>
      </c>
      <c r="AN562" t="s">
        <v>4488</v>
      </c>
      <c r="AO562" t="s">
        <v>8840</v>
      </c>
      <c r="AP562" t="s">
        <v>8841</v>
      </c>
      <c r="AQ562" t="s">
        <v>74</v>
      </c>
      <c r="AR562" t="s">
        <v>8842</v>
      </c>
      <c r="AS562" t="s">
        <v>8843</v>
      </c>
      <c r="AT562" t="s">
        <v>8295</v>
      </c>
      <c r="AU562">
        <v>2005</v>
      </c>
      <c r="AV562">
        <v>110</v>
      </c>
      <c r="AW562" t="s">
        <v>8844</v>
      </c>
      <c r="AX562" t="s">
        <v>74</v>
      </c>
      <c r="AY562" t="s">
        <v>74</v>
      </c>
      <c r="AZ562" t="s">
        <v>74</v>
      </c>
      <c r="BA562" t="s">
        <v>74</v>
      </c>
      <c r="BB562" t="s">
        <v>74</v>
      </c>
      <c r="BC562" t="s">
        <v>74</v>
      </c>
      <c r="BD562" t="s">
        <v>8845</v>
      </c>
      <c r="BE562" t="s">
        <v>8846</v>
      </c>
      <c r="BF562" t="str">
        <f>HYPERLINK("http://dx.doi.org/10.1029/2004JF000254","http://dx.doi.org/10.1029/2004JF000254")</f>
        <v>http://dx.doi.org/10.1029/2004JF000254</v>
      </c>
      <c r="BG562" t="s">
        <v>74</v>
      </c>
      <c r="BH562" t="s">
        <v>74</v>
      </c>
      <c r="BI562">
        <v>13</v>
      </c>
      <c r="BJ562" t="s">
        <v>1129</v>
      </c>
      <c r="BK562" t="s">
        <v>98</v>
      </c>
      <c r="BL562" t="s">
        <v>1130</v>
      </c>
      <c r="BM562" t="s">
        <v>8847</v>
      </c>
      <c r="BN562" t="s">
        <v>74</v>
      </c>
      <c r="BO562" t="s">
        <v>5301</v>
      </c>
      <c r="BP562" t="s">
        <v>74</v>
      </c>
      <c r="BQ562" t="s">
        <v>74</v>
      </c>
      <c r="BR562" t="s">
        <v>101</v>
      </c>
      <c r="BS562" t="s">
        <v>8848</v>
      </c>
      <c r="BT562" t="str">
        <f>HYPERLINK("https%3A%2F%2Fwww.webofscience.com%2Fwos%2Fwoscc%2Ffull-record%2FWOS:000233161700001","View Full Record in Web of Science")</f>
        <v>View Full Record in Web of Science</v>
      </c>
    </row>
    <row r="563" spans="1:72" x14ac:dyDescent="0.15">
      <c r="A563" t="s">
        <v>72</v>
      </c>
      <c r="B563" t="s">
        <v>8849</v>
      </c>
      <c r="C563" t="s">
        <v>74</v>
      </c>
      <c r="D563" t="s">
        <v>74</v>
      </c>
      <c r="E563" t="s">
        <v>74</v>
      </c>
      <c r="F563" t="s">
        <v>8849</v>
      </c>
      <c r="G563" t="s">
        <v>74</v>
      </c>
      <c r="H563" t="s">
        <v>74</v>
      </c>
      <c r="I563" t="s">
        <v>8850</v>
      </c>
      <c r="J563" t="s">
        <v>8851</v>
      </c>
      <c r="K563" t="s">
        <v>74</v>
      </c>
      <c r="L563" t="s">
        <v>74</v>
      </c>
      <c r="M563" t="s">
        <v>77</v>
      </c>
      <c r="N563" t="s">
        <v>78</v>
      </c>
      <c r="O563" t="s">
        <v>74</v>
      </c>
      <c r="P563" t="s">
        <v>74</v>
      </c>
      <c r="Q563" t="s">
        <v>74</v>
      </c>
      <c r="R563" t="s">
        <v>74</v>
      </c>
      <c r="S563" t="s">
        <v>74</v>
      </c>
      <c r="T563" t="s">
        <v>74</v>
      </c>
      <c r="U563" t="s">
        <v>8852</v>
      </c>
      <c r="V563" t="s">
        <v>8853</v>
      </c>
      <c r="W563" t="s">
        <v>8854</v>
      </c>
      <c r="X563" t="s">
        <v>8855</v>
      </c>
      <c r="Y563" t="s">
        <v>8856</v>
      </c>
      <c r="Z563" t="s">
        <v>8857</v>
      </c>
      <c r="AA563" t="s">
        <v>8858</v>
      </c>
      <c r="AB563" t="s">
        <v>8859</v>
      </c>
      <c r="AC563" t="s">
        <v>74</v>
      </c>
      <c r="AD563" t="s">
        <v>74</v>
      </c>
      <c r="AE563" t="s">
        <v>74</v>
      </c>
      <c r="AF563" t="s">
        <v>74</v>
      </c>
      <c r="AG563">
        <v>32</v>
      </c>
      <c r="AH563">
        <v>54</v>
      </c>
      <c r="AI563">
        <v>62</v>
      </c>
      <c r="AJ563">
        <v>1</v>
      </c>
      <c r="AK563">
        <v>34</v>
      </c>
      <c r="AL563" t="s">
        <v>8860</v>
      </c>
      <c r="AM563" t="s">
        <v>89</v>
      </c>
      <c r="AN563" t="s">
        <v>8861</v>
      </c>
      <c r="AO563" t="s">
        <v>8862</v>
      </c>
      <c r="AP563" t="s">
        <v>74</v>
      </c>
      <c r="AQ563" t="s">
        <v>74</v>
      </c>
      <c r="AR563" t="s">
        <v>8863</v>
      </c>
      <c r="AS563" t="s">
        <v>8864</v>
      </c>
      <c r="AT563" t="s">
        <v>7971</v>
      </c>
      <c r="AU563">
        <v>2005</v>
      </c>
      <c r="AV563">
        <v>24</v>
      </c>
      <c r="AW563">
        <v>11</v>
      </c>
      <c r="AX563" t="s">
        <v>74</v>
      </c>
      <c r="AY563" t="s">
        <v>74</v>
      </c>
      <c r="AZ563" t="s">
        <v>74</v>
      </c>
      <c r="BA563" t="s">
        <v>74</v>
      </c>
      <c r="BB563">
        <v>1915</v>
      </c>
      <c r="BC563">
        <v>1929</v>
      </c>
      <c r="BD563" t="s">
        <v>74</v>
      </c>
      <c r="BE563" t="s">
        <v>8865</v>
      </c>
      <c r="BF563" t="str">
        <f>HYPERLINK("http://dx.doi.org/10.1016/j.healun.2004.11.003","http://dx.doi.org/10.1016/j.healun.2004.11.003")</f>
        <v>http://dx.doi.org/10.1016/j.healun.2004.11.003</v>
      </c>
      <c r="BG563" t="s">
        <v>74</v>
      </c>
      <c r="BH563" t="s">
        <v>74</v>
      </c>
      <c r="BI563">
        <v>15</v>
      </c>
      <c r="BJ563" t="s">
        <v>8866</v>
      </c>
      <c r="BK563" t="s">
        <v>98</v>
      </c>
      <c r="BL563" t="s">
        <v>8867</v>
      </c>
      <c r="BM563" t="s">
        <v>8868</v>
      </c>
      <c r="BN563">
        <v>16297800</v>
      </c>
      <c r="BO563" t="s">
        <v>74</v>
      </c>
      <c r="BP563" t="s">
        <v>74</v>
      </c>
      <c r="BQ563" t="s">
        <v>74</v>
      </c>
      <c r="BR563" t="s">
        <v>101</v>
      </c>
      <c r="BS563" t="s">
        <v>8869</v>
      </c>
      <c r="BT563" t="str">
        <f>HYPERLINK("https%3A%2F%2Fwww.webofscience.com%2Fwos%2Fwoscc%2Ffull-record%2FWOS:000233412300032","View Full Record in Web of Science")</f>
        <v>View Full Record in Web of Science</v>
      </c>
    </row>
    <row r="564" spans="1:72" x14ac:dyDescent="0.15">
      <c r="A564" t="s">
        <v>72</v>
      </c>
      <c r="B564" t="s">
        <v>8870</v>
      </c>
      <c r="C564" t="s">
        <v>74</v>
      </c>
      <c r="D564" t="s">
        <v>74</v>
      </c>
      <c r="E564" t="s">
        <v>74</v>
      </c>
      <c r="F564" t="s">
        <v>8870</v>
      </c>
      <c r="G564" t="s">
        <v>74</v>
      </c>
      <c r="H564" t="s">
        <v>74</v>
      </c>
      <c r="I564" t="s">
        <v>8871</v>
      </c>
      <c r="J564" t="s">
        <v>8872</v>
      </c>
      <c r="K564" t="s">
        <v>74</v>
      </c>
      <c r="L564" t="s">
        <v>74</v>
      </c>
      <c r="M564" t="s">
        <v>77</v>
      </c>
      <c r="N564" t="s">
        <v>78</v>
      </c>
      <c r="O564" t="s">
        <v>74</v>
      </c>
      <c r="P564" t="s">
        <v>74</v>
      </c>
      <c r="Q564" t="s">
        <v>74</v>
      </c>
      <c r="R564" t="s">
        <v>74</v>
      </c>
      <c r="S564" t="s">
        <v>74</v>
      </c>
      <c r="T564" t="s">
        <v>74</v>
      </c>
      <c r="U564" t="s">
        <v>8873</v>
      </c>
      <c r="V564" t="s">
        <v>8874</v>
      </c>
      <c r="W564" t="s">
        <v>8875</v>
      </c>
      <c r="X564" t="s">
        <v>8876</v>
      </c>
      <c r="Y564" t="s">
        <v>8877</v>
      </c>
      <c r="Z564" t="s">
        <v>8878</v>
      </c>
      <c r="AA564" t="s">
        <v>74</v>
      </c>
      <c r="AB564" t="s">
        <v>74</v>
      </c>
      <c r="AC564" t="s">
        <v>74</v>
      </c>
      <c r="AD564" t="s">
        <v>74</v>
      </c>
      <c r="AE564" t="s">
        <v>74</v>
      </c>
      <c r="AF564" t="s">
        <v>74</v>
      </c>
      <c r="AG564">
        <v>19</v>
      </c>
      <c r="AH564">
        <v>6</v>
      </c>
      <c r="AI564">
        <v>6</v>
      </c>
      <c r="AJ564">
        <v>0</v>
      </c>
      <c r="AK564">
        <v>1</v>
      </c>
      <c r="AL564" t="s">
        <v>8879</v>
      </c>
      <c r="AM564" t="s">
        <v>8880</v>
      </c>
      <c r="AN564" t="s">
        <v>8881</v>
      </c>
      <c r="AO564" t="s">
        <v>8882</v>
      </c>
      <c r="AP564" t="s">
        <v>74</v>
      </c>
      <c r="AQ564" t="s">
        <v>74</v>
      </c>
      <c r="AR564" t="s">
        <v>8883</v>
      </c>
      <c r="AS564" t="s">
        <v>8884</v>
      </c>
      <c r="AT564" t="s">
        <v>7971</v>
      </c>
      <c r="AU564">
        <v>2005</v>
      </c>
      <c r="AV564">
        <v>63</v>
      </c>
      <c r="AW564">
        <v>6</v>
      </c>
      <c r="AX564" t="s">
        <v>74</v>
      </c>
      <c r="AY564" t="s">
        <v>74</v>
      </c>
      <c r="AZ564" t="s">
        <v>74</v>
      </c>
      <c r="BA564" t="s">
        <v>74</v>
      </c>
      <c r="BB564">
        <v>1041</v>
      </c>
      <c r="BC564">
        <v>1055</v>
      </c>
      <c r="BD564" t="s">
        <v>74</v>
      </c>
      <c r="BE564" t="s">
        <v>8885</v>
      </c>
      <c r="BF564" t="str">
        <f>HYPERLINK("http://dx.doi.org/10.1357/002224005775247634","http://dx.doi.org/10.1357/002224005775247634")</f>
        <v>http://dx.doi.org/10.1357/002224005775247634</v>
      </c>
      <c r="BG564" t="s">
        <v>74</v>
      </c>
      <c r="BH564" t="s">
        <v>74</v>
      </c>
      <c r="BI564">
        <v>15</v>
      </c>
      <c r="BJ564" t="s">
        <v>629</v>
      </c>
      <c r="BK564" t="s">
        <v>98</v>
      </c>
      <c r="BL564" t="s">
        <v>629</v>
      </c>
      <c r="BM564" t="s">
        <v>8886</v>
      </c>
      <c r="BN564" t="s">
        <v>74</v>
      </c>
      <c r="BO564" t="s">
        <v>74</v>
      </c>
      <c r="BP564" t="s">
        <v>74</v>
      </c>
      <c r="BQ564" t="s">
        <v>74</v>
      </c>
      <c r="BR564" t="s">
        <v>101</v>
      </c>
      <c r="BS564" t="s">
        <v>8887</v>
      </c>
      <c r="BT564" t="str">
        <f>HYPERLINK("https%3A%2F%2Fwww.webofscience.com%2Fwos%2Fwoscc%2Ffull-record%2FWOS:000234781600003","View Full Record in Web of Science")</f>
        <v>View Full Record in Web of Science</v>
      </c>
    </row>
    <row r="565" spans="1:72" x14ac:dyDescent="0.15">
      <c r="A565" t="s">
        <v>72</v>
      </c>
      <c r="B565" t="s">
        <v>8888</v>
      </c>
      <c r="C565" t="s">
        <v>74</v>
      </c>
      <c r="D565" t="s">
        <v>74</v>
      </c>
      <c r="E565" t="s">
        <v>74</v>
      </c>
      <c r="F565" t="s">
        <v>8888</v>
      </c>
      <c r="G565" t="s">
        <v>74</v>
      </c>
      <c r="H565" t="s">
        <v>74</v>
      </c>
      <c r="I565" t="s">
        <v>8889</v>
      </c>
      <c r="J565" t="s">
        <v>8872</v>
      </c>
      <c r="K565" t="s">
        <v>74</v>
      </c>
      <c r="L565" t="s">
        <v>74</v>
      </c>
      <c r="M565" t="s">
        <v>77</v>
      </c>
      <c r="N565" t="s">
        <v>78</v>
      </c>
      <c r="O565" t="s">
        <v>74</v>
      </c>
      <c r="P565" t="s">
        <v>74</v>
      </c>
      <c r="Q565" t="s">
        <v>74</v>
      </c>
      <c r="R565" t="s">
        <v>74</v>
      </c>
      <c r="S565" t="s">
        <v>74</v>
      </c>
      <c r="T565" t="s">
        <v>74</v>
      </c>
      <c r="U565" t="s">
        <v>8890</v>
      </c>
      <c r="V565" t="s">
        <v>8891</v>
      </c>
      <c r="W565" t="s">
        <v>8892</v>
      </c>
      <c r="X565" t="s">
        <v>8893</v>
      </c>
      <c r="Y565" t="s">
        <v>8894</v>
      </c>
      <c r="Z565" t="s">
        <v>8895</v>
      </c>
      <c r="AA565" t="s">
        <v>8896</v>
      </c>
      <c r="AB565" t="s">
        <v>8897</v>
      </c>
      <c r="AC565" t="s">
        <v>74</v>
      </c>
      <c r="AD565" t="s">
        <v>74</v>
      </c>
      <c r="AE565" t="s">
        <v>74</v>
      </c>
      <c r="AF565" t="s">
        <v>74</v>
      </c>
      <c r="AG565">
        <v>47</v>
      </c>
      <c r="AH565">
        <v>5</v>
      </c>
      <c r="AI565">
        <v>6</v>
      </c>
      <c r="AJ565">
        <v>0</v>
      </c>
      <c r="AK565">
        <v>4</v>
      </c>
      <c r="AL565" t="s">
        <v>8879</v>
      </c>
      <c r="AM565" t="s">
        <v>8880</v>
      </c>
      <c r="AN565" t="s">
        <v>8881</v>
      </c>
      <c r="AO565" t="s">
        <v>8882</v>
      </c>
      <c r="AP565" t="s">
        <v>74</v>
      </c>
      <c r="AQ565" t="s">
        <v>74</v>
      </c>
      <c r="AR565" t="s">
        <v>8883</v>
      </c>
      <c r="AS565" t="s">
        <v>8884</v>
      </c>
      <c r="AT565" t="s">
        <v>7971</v>
      </c>
      <c r="AU565">
        <v>2005</v>
      </c>
      <c r="AV565">
        <v>63</v>
      </c>
      <c r="AW565">
        <v>6</v>
      </c>
      <c r="AX565" t="s">
        <v>74</v>
      </c>
      <c r="AY565" t="s">
        <v>74</v>
      </c>
      <c r="AZ565" t="s">
        <v>74</v>
      </c>
      <c r="BA565" t="s">
        <v>74</v>
      </c>
      <c r="BB565">
        <v>1101</v>
      </c>
      <c r="BC565">
        <v>1125</v>
      </c>
      <c r="BD565" t="s">
        <v>74</v>
      </c>
      <c r="BE565" t="s">
        <v>8898</v>
      </c>
      <c r="BF565" t="str">
        <f>HYPERLINK("http://dx.doi.org/10.1357/002224005775247562","http://dx.doi.org/10.1357/002224005775247562")</f>
        <v>http://dx.doi.org/10.1357/002224005775247562</v>
      </c>
      <c r="BG565" t="s">
        <v>74</v>
      </c>
      <c r="BH565" t="s">
        <v>74</v>
      </c>
      <c r="BI565">
        <v>25</v>
      </c>
      <c r="BJ565" t="s">
        <v>629</v>
      </c>
      <c r="BK565" t="s">
        <v>98</v>
      </c>
      <c r="BL565" t="s">
        <v>629</v>
      </c>
      <c r="BM565" t="s">
        <v>8886</v>
      </c>
      <c r="BN565" t="s">
        <v>74</v>
      </c>
      <c r="BO565" t="s">
        <v>74</v>
      </c>
      <c r="BP565" t="s">
        <v>74</v>
      </c>
      <c r="BQ565" t="s">
        <v>74</v>
      </c>
      <c r="BR565" t="s">
        <v>101</v>
      </c>
      <c r="BS565" t="s">
        <v>8899</v>
      </c>
      <c r="BT565" t="str">
        <f>HYPERLINK("https%3A%2F%2Fwww.webofscience.com%2Fwos%2Fwoscc%2Ffull-record%2FWOS:000234781600006","View Full Record in Web of Science")</f>
        <v>View Full Record in Web of Science</v>
      </c>
    </row>
    <row r="566" spans="1:72" x14ac:dyDescent="0.15">
      <c r="A566" t="s">
        <v>72</v>
      </c>
      <c r="B566" t="s">
        <v>8900</v>
      </c>
      <c r="C566" t="s">
        <v>74</v>
      </c>
      <c r="D566" t="s">
        <v>74</v>
      </c>
      <c r="E566" t="s">
        <v>74</v>
      </c>
      <c r="F566" t="s">
        <v>8900</v>
      </c>
      <c r="G566" t="s">
        <v>74</v>
      </c>
      <c r="H566" t="s">
        <v>74</v>
      </c>
      <c r="I566" t="s">
        <v>8901</v>
      </c>
      <c r="J566" t="s">
        <v>8902</v>
      </c>
      <c r="K566" t="s">
        <v>74</v>
      </c>
      <c r="L566" t="s">
        <v>74</v>
      </c>
      <c r="M566" t="s">
        <v>77</v>
      </c>
      <c r="N566" t="s">
        <v>78</v>
      </c>
      <c r="O566" t="s">
        <v>74</v>
      </c>
      <c r="P566" t="s">
        <v>74</v>
      </c>
      <c r="Q566" t="s">
        <v>74</v>
      </c>
      <c r="R566" t="s">
        <v>74</v>
      </c>
      <c r="S566" t="s">
        <v>74</v>
      </c>
      <c r="T566" t="s">
        <v>74</v>
      </c>
      <c r="U566" t="s">
        <v>8903</v>
      </c>
      <c r="V566" t="s">
        <v>8904</v>
      </c>
      <c r="W566" t="s">
        <v>8905</v>
      </c>
      <c r="X566" t="s">
        <v>5560</v>
      </c>
      <c r="Y566" t="s">
        <v>8906</v>
      </c>
      <c r="Z566" t="s">
        <v>8907</v>
      </c>
      <c r="AA566" t="s">
        <v>8908</v>
      </c>
      <c r="AB566" t="s">
        <v>8909</v>
      </c>
      <c r="AC566" t="s">
        <v>74</v>
      </c>
      <c r="AD566" t="s">
        <v>74</v>
      </c>
      <c r="AE566" t="s">
        <v>74</v>
      </c>
      <c r="AF566" t="s">
        <v>74</v>
      </c>
      <c r="AG566">
        <v>28</v>
      </c>
      <c r="AH566">
        <v>93</v>
      </c>
      <c r="AI566">
        <v>95</v>
      </c>
      <c r="AJ566">
        <v>0</v>
      </c>
      <c r="AK566">
        <v>22</v>
      </c>
      <c r="AL566" t="s">
        <v>6583</v>
      </c>
      <c r="AM566" t="s">
        <v>6584</v>
      </c>
      <c r="AN566" t="s">
        <v>6585</v>
      </c>
      <c r="AO566" t="s">
        <v>8910</v>
      </c>
      <c r="AP566" t="s">
        <v>74</v>
      </c>
      <c r="AQ566" t="s">
        <v>74</v>
      </c>
      <c r="AR566" t="s">
        <v>8911</v>
      </c>
      <c r="AS566" t="s">
        <v>8912</v>
      </c>
      <c r="AT566" t="s">
        <v>7971</v>
      </c>
      <c r="AU566">
        <v>2005</v>
      </c>
      <c r="AV566">
        <v>35</v>
      </c>
      <c r="AW566">
        <v>11</v>
      </c>
      <c r="AX566" t="s">
        <v>74</v>
      </c>
      <c r="AY566" t="s">
        <v>74</v>
      </c>
      <c r="AZ566" t="s">
        <v>74</v>
      </c>
      <c r="BA566" t="s">
        <v>74</v>
      </c>
      <c r="BB566">
        <v>2031</v>
      </c>
      <c r="BC566">
        <v>2053</v>
      </c>
      <c r="BD566" t="s">
        <v>74</v>
      </c>
      <c r="BE566" t="s">
        <v>8913</v>
      </c>
      <c r="BF566" t="str">
        <f>HYPERLINK("http://dx.doi.org/10.1175/JPO2813.1","http://dx.doi.org/10.1175/JPO2813.1")</f>
        <v>http://dx.doi.org/10.1175/JPO2813.1</v>
      </c>
      <c r="BG566" t="s">
        <v>74</v>
      </c>
      <c r="BH566" t="s">
        <v>74</v>
      </c>
      <c r="BI566">
        <v>23</v>
      </c>
      <c r="BJ566" t="s">
        <v>629</v>
      </c>
      <c r="BK566" t="s">
        <v>98</v>
      </c>
      <c r="BL566" t="s">
        <v>629</v>
      </c>
      <c r="BM566" t="s">
        <v>8914</v>
      </c>
      <c r="BN566" t="s">
        <v>74</v>
      </c>
      <c r="BO566" t="s">
        <v>2656</v>
      </c>
      <c r="BP566" t="s">
        <v>74</v>
      </c>
      <c r="BQ566" t="s">
        <v>74</v>
      </c>
      <c r="BR566" t="s">
        <v>101</v>
      </c>
      <c r="BS566" t="s">
        <v>8915</v>
      </c>
      <c r="BT566" t="str">
        <f>HYPERLINK("https%3A%2F%2Fwww.webofscience.com%2Fwos%2Fwoscc%2Ffull-record%2FWOS:000233977600006","View Full Record in Web of Science")</f>
        <v>View Full Record in Web of Science</v>
      </c>
    </row>
    <row r="567" spans="1:72" x14ac:dyDescent="0.15">
      <c r="A567" t="s">
        <v>72</v>
      </c>
      <c r="B567" t="s">
        <v>8888</v>
      </c>
      <c r="C567" t="s">
        <v>74</v>
      </c>
      <c r="D567" t="s">
        <v>74</v>
      </c>
      <c r="E567" t="s">
        <v>74</v>
      </c>
      <c r="F567" t="s">
        <v>8888</v>
      </c>
      <c r="G567" t="s">
        <v>74</v>
      </c>
      <c r="H567" t="s">
        <v>74</v>
      </c>
      <c r="I567" t="s">
        <v>8916</v>
      </c>
      <c r="J567" t="s">
        <v>8902</v>
      </c>
      <c r="K567" t="s">
        <v>74</v>
      </c>
      <c r="L567" t="s">
        <v>74</v>
      </c>
      <c r="M567" t="s">
        <v>77</v>
      </c>
      <c r="N567" t="s">
        <v>78</v>
      </c>
      <c r="O567" t="s">
        <v>74</v>
      </c>
      <c r="P567" t="s">
        <v>74</v>
      </c>
      <c r="Q567" t="s">
        <v>74</v>
      </c>
      <c r="R567" t="s">
        <v>74</v>
      </c>
      <c r="S567" t="s">
        <v>74</v>
      </c>
      <c r="T567" t="s">
        <v>74</v>
      </c>
      <c r="U567" t="s">
        <v>8917</v>
      </c>
      <c r="V567" t="s">
        <v>8918</v>
      </c>
      <c r="W567" t="s">
        <v>8919</v>
      </c>
      <c r="X567" t="s">
        <v>8893</v>
      </c>
      <c r="Y567" t="s">
        <v>8920</v>
      </c>
      <c r="Z567" t="s">
        <v>8895</v>
      </c>
      <c r="AA567" t="s">
        <v>8921</v>
      </c>
      <c r="AB567" t="s">
        <v>8897</v>
      </c>
      <c r="AC567" t="s">
        <v>74</v>
      </c>
      <c r="AD567" t="s">
        <v>74</v>
      </c>
      <c r="AE567" t="s">
        <v>74</v>
      </c>
      <c r="AF567" t="s">
        <v>74</v>
      </c>
      <c r="AG567">
        <v>43</v>
      </c>
      <c r="AH567">
        <v>29</v>
      </c>
      <c r="AI567">
        <v>33</v>
      </c>
      <c r="AJ567">
        <v>0</v>
      </c>
      <c r="AK567">
        <v>5</v>
      </c>
      <c r="AL567" t="s">
        <v>6583</v>
      </c>
      <c r="AM567" t="s">
        <v>6584</v>
      </c>
      <c r="AN567" t="s">
        <v>6585</v>
      </c>
      <c r="AO567" t="s">
        <v>8910</v>
      </c>
      <c r="AP567" t="s">
        <v>8922</v>
      </c>
      <c r="AQ567" t="s">
        <v>74</v>
      </c>
      <c r="AR567" t="s">
        <v>8911</v>
      </c>
      <c r="AS567" t="s">
        <v>8912</v>
      </c>
      <c r="AT567" t="s">
        <v>7971</v>
      </c>
      <c r="AU567">
        <v>2005</v>
      </c>
      <c r="AV567">
        <v>35</v>
      </c>
      <c r="AW567">
        <v>11</v>
      </c>
      <c r="AX567" t="s">
        <v>74</v>
      </c>
      <c r="AY567" t="s">
        <v>74</v>
      </c>
      <c r="AZ567" t="s">
        <v>74</v>
      </c>
      <c r="BA567" t="s">
        <v>74</v>
      </c>
      <c r="BB567">
        <v>2076</v>
      </c>
      <c r="BC567">
        <v>2089</v>
      </c>
      <c r="BD567" t="s">
        <v>74</v>
      </c>
      <c r="BE567" t="s">
        <v>8923</v>
      </c>
      <c r="BF567" t="str">
        <f>HYPERLINK("http://dx.doi.org/10.1175/JPO2801.1","http://dx.doi.org/10.1175/JPO2801.1")</f>
        <v>http://dx.doi.org/10.1175/JPO2801.1</v>
      </c>
      <c r="BG567" t="s">
        <v>74</v>
      </c>
      <c r="BH567" t="s">
        <v>74</v>
      </c>
      <c r="BI567">
        <v>14</v>
      </c>
      <c r="BJ567" t="s">
        <v>629</v>
      </c>
      <c r="BK567" t="s">
        <v>98</v>
      </c>
      <c r="BL567" t="s">
        <v>629</v>
      </c>
      <c r="BM567" t="s">
        <v>8914</v>
      </c>
      <c r="BN567" t="s">
        <v>74</v>
      </c>
      <c r="BO567" t="s">
        <v>1900</v>
      </c>
      <c r="BP567" t="s">
        <v>74</v>
      </c>
      <c r="BQ567" t="s">
        <v>74</v>
      </c>
      <c r="BR567" t="s">
        <v>101</v>
      </c>
      <c r="BS567" t="s">
        <v>8924</v>
      </c>
      <c r="BT567" t="str">
        <f>HYPERLINK("https%3A%2F%2Fwww.webofscience.com%2Fwos%2Fwoscc%2Ffull-record%2FWOS:000233977600008","View Full Record in Web of Science")</f>
        <v>View Full Record in Web of Science</v>
      </c>
    </row>
    <row r="568" spans="1:72" x14ac:dyDescent="0.15">
      <c r="A568" t="s">
        <v>72</v>
      </c>
      <c r="B568" t="s">
        <v>8925</v>
      </c>
      <c r="C568" t="s">
        <v>74</v>
      </c>
      <c r="D568" t="s">
        <v>74</v>
      </c>
      <c r="E568" t="s">
        <v>74</v>
      </c>
      <c r="F568" t="s">
        <v>8925</v>
      </c>
      <c r="G568" t="s">
        <v>74</v>
      </c>
      <c r="H568" t="s">
        <v>74</v>
      </c>
      <c r="I568" t="s">
        <v>8926</v>
      </c>
      <c r="J568" t="s">
        <v>8902</v>
      </c>
      <c r="K568" t="s">
        <v>74</v>
      </c>
      <c r="L568" t="s">
        <v>74</v>
      </c>
      <c r="M568" t="s">
        <v>77</v>
      </c>
      <c r="N568" t="s">
        <v>78</v>
      </c>
      <c r="O568" t="s">
        <v>74</v>
      </c>
      <c r="P568" t="s">
        <v>74</v>
      </c>
      <c r="Q568" t="s">
        <v>74</v>
      </c>
      <c r="R568" t="s">
        <v>74</v>
      </c>
      <c r="S568" t="s">
        <v>74</v>
      </c>
      <c r="T568" t="s">
        <v>74</v>
      </c>
      <c r="U568" t="s">
        <v>8927</v>
      </c>
      <c r="V568" t="s">
        <v>8928</v>
      </c>
      <c r="W568" t="s">
        <v>8929</v>
      </c>
      <c r="X568" t="s">
        <v>8930</v>
      </c>
      <c r="Y568" t="s">
        <v>8931</v>
      </c>
      <c r="Z568" t="s">
        <v>8932</v>
      </c>
      <c r="AA568" t="s">
        <v>8933</v>
      </c>
      <c r="AB568" t="s">
        <v>8934</v>
      </c>
      <c r="AC568" t="s">
        <v>74</v>
      </c>
      <c r="AD568" t="s">
        <v>74</v>
      </c>
      <c r="AE568" t="s">
        <v>74</v>
      </c>
      <c r="AF568" t="s">
        <v>74</v>
      </c>
      <c r="AG568">
        <v>33</v>
      </c>
      <c r="AH568">
        <v>5</v>
      </c>
      <c r="AI568">
        <v>5</v>
      </c>
      <c r="AJ568">
        <v>0</v>
      </c>
      <c r="AK568">
        <v>2</v>
      </c>
      <c r="AL568" t="s">
        <v>6583</v>
      </c>
      <c r="AM568" t="s">
        <v>6584</v>
      </c>
      <c r="AN568" t="s">
        <v>6585</v>
      </c>
      <c r="AO568" t="s">
        <v>8910</v>
      </c>
      <c r="AP568" t="s">
        <v>74</v>
      </c>
      <c r="AQ568" t="s">
        <v>74</v>
      </c>
      <c r="AR568" t="s">
        <v>8911</v>
      </c>
      <c r="AS568" t="s">
        <v>8912</v>
      </c>
      <c r="AT568" t="s">
        <v>7971</v>
      </c>
      <c r="AU568">
        <v>2005</v>
      </c>
      <c r="AV568">
        <v>35</v>
      </c>
      <c r="AW568">
        <v>11</v>
      </c>
      <c r="AX568" t="s">
        <v>74</v>
      </c>
      <c r="AY568" t="s">
        <v>74</v>
      </c>
      <c r="AZ568" t="s">
        <v>74</v>
      </c>
      <c r="BA568" t="s">
        <v>74</v>
      </c>
      <c r="BB568">
        <v>2152</v>
      </c>
      <c r="BC568">
        <v>2166</v>
      </c>
      <c r="BD568" t="s">
        <v>74</v>
      </c>
      <c r="BE568" t="s">
        <v>8935</v>
      </c>
      <c r="BF568" t="str">
        <f>HYPERLINK("http://dx.doi.org/10.1175/JPO2776.1","http://dx.doi.org/10.1175/JPO2776.1")</f>
        <v>http://dx.doi.org/10.1175/JPO2776.1</v>
      </c>
      <c r="BG568" t="s">
        <v>74</v>
      </c>
      <c r="BH568" t="s">
        <v>74</v>
      </c>
      <c r="BI568">
        <v>15</v>
      </c>
      <c r="BJ568" t="s">
        <v>629</v>
      </c>
      <c r="BK568" t="s">
        <v>98</v>
      </c>
      <c r="BL568" t="s">
        <v>629</v>
      </c>
      <c r="BM568" t="s">
        <v>8914</v>
      </c>
      <c r="BN568" t="s">
        <v>74</v>
      </c>
      <c r="BO568" t="s">
        <v>1900</v>
      </c>
      <c r="BP568" t="s">
        <v>74</v>
      </c>
      <c r="BQ568" t="s">
        <v>74</v>
      </c>
      <c r="BR568" t="s">
        <v>101</v>
      </c>
      <c r="BS568" t="s">
        <v>8936</v>
      </c>
      <c r="BT568" t="str">
        <f>HYPERLINK("https%3A%2F%2Fwww.webofscience.com%2Fwos%2Fwoscc%2Ffull-record%2FWOS:000233977600013","View Full Record in Web of Science")</f>
        <v>View Full Record in Web of Science</v>
      </c>
    </row>
    <row r="569" spans="1:72" x14ac:dyDescent="0.15">
      <c r="A569" t="s">
        <v>72</v>
      </c>
      <c r="B569" t="s">
        <v>8937</v>
      </c>
      <c r="C569" t="s">
        <v>74</v>
      </c>
      <c r="D569" t="s">
        <v>74</v>
      </c>
      <c r="E569" t="s">
        <v>74</v>
      </c>
      <c r="F569" t="s">
        <v>8937</v>
      </c>
      <c r="G569" t="s">
        <v>74</v>
      </c>
      <c r="H569" t="s">
        <v>74</v>
      </c>
      <c r="I569" t="s">
        <v>8938</v>
      </c>
      <c r="J569" t="s">
        <v>8939</v>
      </c>
      <c r="K569" t="s">
        <v>74</v>
      </c>
      <c r="L569" t="s">
        <v>74</v>
      </c>
      <c r="M569" t="s">
        <v>77</v>
      </c>
      <c r="N569" t="s">
        <v>78</v>
      </c>
      <c r="O569" t="s">
        <v>74</v>
      </c>
      <c r="P569" t="s">
        <v>74</v>
      </c>
      <c r="Q569" t="s">
        <v>74</v>
      </c>
      <c r="R569" t="s">
        <v>74</v>
      </c>
      <c r="S569" t="s">
        <v>74</v>
      </c>
      <c r="T569" t="s">
        <v>74</v>
      </c>
      <c r="U569" t="s">
        <v>8940</v>
      </c>
      <c r="V569" t="s">
        <v>8941</v>
      </c>
      <c r="W569" t="s">
        <v>8942</v>
      </c>
      <c r="X569" t="s">
        <v>8943</v>
      </c>
      <c r="Y569" t="s">
        <v>8944</v>
      </c>
      <c r="Z569" t="s">
        <v>8945</v>
      </c>
      <c r="AA569" t="s">
        <v>8946</v>
      </c>
      <c r="AB569" t="s">
        <v>8947</v>
      </c>
      <c r="AC569" t="s">
        <v>74</v>
      </c>
      <c r="AD569" t="s">
        <v>74</v>
      </c>
      <c r="AE569" t="s">
        <v>74</v>
      </c>
      <c r="AF569" t="s">
        <v>74</v>
      </c>
      <c r="AG569">
        <v>43</v>
      </c>
      <c r="AH569">
        <v>22</v>
      </c>
      <c r="AI569">
        <v>27</v>
      </c>
      <c r="AJ569">
        <v>0</v>
      </c>
      <c r="AK569">
        <v>14</v>
      </c>
      <c r="AL569" t="s">
        <v>1891</v>
      </c>
      <c r="AM569" t="s">
        <v>140</v>
      </c>
      <c r="AN569" t="s">
        <v>1892</v>
      </c>
      <c r="AO569" t="s">
        <v>8948</v>
      </c>
      <c r="AP569" t="s">
        <v>74</v>
      </c>
      <c r="AQ569" t="s">
        <v>74</v>
      </c>
      <c r="AR569" t="s">
        <v>8949</v>
      </c>
      <c r="AS569" t="s">
        <v>8950</v>
      </c>
      <c r="AT569" t="s">
        <v>7971</v>
      </c>
      <c r="AU569">
        <v>2005</v>
      </c>
      <c r="AV569">
        <v>27</v>
      </c>
      <c r="AW569">
        <v>11</v>
      </c>
      <c r="AX569" t="s">
        <v>74</v>
      </c>
      <c r="AY569" t="s">
        <v>74</v>
      </c>
      <c r="AZ569" t="s">
        <v>74</v>
      </c>
      <c r="BA569" t="s">
        <v>74</v>
      </c>
      <c r="BB569">
        <v>1195</v>
      </c>
      <c r="BC569">
        <v>1203</v>
      </c>
      <c r="BD569" t="s">
        <v>74</v>
      </c>
      <c r="BE569" t="s">
        <v>8951</v>
      </c>
      <c r="BF569" t="str">
        <f>HYPERLINK("http://dx.doi.org/10.1093/plankt/fbi081","http://dx.doi.org/10.1093/plankt/fbi081")</f>
        <v>http://dx.doi.org/10.1093/plankt/fbi081</v>
      </c>
      <c r="BG569" t="s">
        <v>74</v>
      </c>
      <c r="BH569" t="s">
        <v>74</v>
      </c>
      <c r="BI569">
        <v>9</v>
      </c>
      <c r="BJ569" t="s">
        <v>3720</v>
      </c>
      <c r="BK569" t="s">
        <v>98</v>
      </c>
      <c r="BL569" t="s">
        <v>3720</v>
      </c>
      <c r="BM569" t="s">
        <v>8952</v>
      </c>
      <c r="BN569" t="s">
        <v>74</v>
      </c>
      <c r="BO569" t="s">
        <v>1900</v>
      </c>
      <c r="BP569" t="s">
        <v>74</v>
      </c>
      <c r="BQ569" t="s">
        <v>74</v>
      </c>
      <c r="BR569" t="s">
        <v>101</v>
      </c>
      <c r="BS569" t="s">
        <v>8953</v>
      </c>
      <c r="BT569" t="str">
        <f>HYPERLINK("https%3A%2F%2Fwww.webofscience.com%2Fwos%2Fwoscc%2Ffull-record%2FWOS:000234218500010","View Full Record in Web of Science")</f>
        <v>View Full Record in Web of Science</v>
      </c>
    </row>
    <row r="570" spans="1:72" x14ac:dyDescent="0.15">
      <c r="A570" t="s">
        <v>72</v>
      </c>
      <c r="B570" t="s">
        <v>8954</v>
      </c>
      <c r="C570" t="s">
        <v>74</v>
      </c>
      <c r="D570" t="s">
        <v>74</v>
      </c>
      <c r="E570" t="s">
        <v>74</v>
      </c>
      <c r="F570" t="s">
        <v>8954</v>
      </c>
      <c r="G570" t="s">
        <v>74</v>
      </c>
      <c r="H570" t="s">
        <v>74</v>
      </c>
      <c r="I570" t="s">
        <v>8955</v>
      </c>
      <c r="J570" t="s">
        <v>2486</v>
      </c>
      <c r="K570" t="s">
        <v>74</v>
      </c>
      <c r="L570" t="s">
        <v>74</v>
      </c>
      <c r="M570" t="s">
        <v>77</v>
      </c>
      <c r="N570" t="s">
        <v>78</v>
      </c>
      <c r="O570" t="s">
        <v>74</v>
      </c>
      <c r="P570" t="s">
        <v>74</v>
      </c>
      <c r="Q570" t="s">
        <v>74</v>
      </c>
      <c r="R570" t="s">
        <v>74</v>
      </c>
      <c r="S570" t="s">
        <v>74</v>
      </c>
      <c r="T570" t="s">
        <v>8956</v>
      </c>
      <c r="U570" t="s">
        <v>8957</v>
      </c>
      <c r="V570" t="s">
        <v>8958</v>
      </c>
      <c r="W570" t="s">
        <v>8959</v>
      </c>
      <c r="X570" t="s">
        <v>8960</v>
      </c>
      <c r="Y570" t="s">
        <v>8961</v>
      </c>
      <c r="Z570" t="s">
        <v>8962</v>
      </c>
      <c r="AA570" t="s">
        <v>74</v>
      </c>
      <c r="AB570" t="s">
        <v>74</v>
      </c>
      <c r="AC570" t="s">
        <v>74</v>
      </c>
      <c r="AD570" t="s">
        <v>74</v>
      </c>
      <c r="AE570" t="s">
        <v>74</v>
      </c>
      <c r="AF570" t="s">
        <v>74</v>
      </c>
      <c r="AG570">
        <v>35</v>
      </c>
      <c r="AH570">
        <v>9</v>
      </c>
      <c r="AI570">
        <v>9</v>
      </c>
      <c r="AJ570">
        <v>1</v>
      </c>
      <c r="AK570">
        <v>6</v>
      </c>
      <c r="AL570" t="s">
        <v>2495</v>
      </c>
      <c r="AM570" t="s">
        <v>1844</v>
      </c>
      <c r="AN570" t="s">
        <v>2496</v>
      </c>
      <c r="AO570" t="s">
        <v>2497</v>
      </c>
      <c r="AP570" t="s">
        <v>2498</v>
      </c>
      <c r="AQ570" t="s">
        <v>74</v>
      </c>
      <c r="AR570" t="s">
        <v>2499</v>
      </c>
      <c r="AS570" t="s">
        <v>2500</v>
      </c>
      <c r="AT570" t="s">
        <v>7971</v>
      </c>
      <c r="AU570">
        <v>2005</v>
      </c>
      <c r="AV570">
        <v>162</v>
      </c>
      <c r="AW570" t="s">
        <v>74</v>
      </c>
      <c r="AX570">
        <v>6</v>
      </c>
      <c r="AY570" t="s">
        <v>74</v>
      </c>
      <c r="AZ570" t="s">
        <v>74</v>
      </c>
      <c r="BA570" t="s">
        <v>74</v>
      </c>
      <c r="BB570">
        <v>951</v>
      </c>
      <c r="BC570">
        <v>957</v>
      </c>
      <c r="BD570" t="s">
        <v>74</v>
      </c>
      <c r="BE570" t="s">
        <v>8963</v>
      </c>
      <c r="BF570" t="str">
        <f>HYPERLINK("http://dx.doi.org/10.1144/0016-764903-101","http://dx.doi.org/10.1144/0016-764903-101")</f>
        <v>http://dx.doi.org/10.1144/0016-764903-101</v>
      </c>
      <c r="BG570" t="s">
        <v>74</v>
      </c>
      <c r="BH570" t="s">
        <v>74</v>
      </c>
      <c r="BI570">
        <v>7</v>
      </c>
      <c r="BJ570" t="s">
        <v>1129</v>
      </c>
      <c r="BK570" t="s">
        <v>98</v>
      </c>
      <c r="BL570" t="s">
        <v>1130</v>
      </c>
      <c r="BM570" t="s">
        <v>8964</v>
      </c>
      <c r="BN570" t="s">
        <v>74</v>
      </c>
      <c r="BO570" t="s">
        <v>74</v>
      </c>
      <c r="BP570" t="s">
        <v>74</v>
      </c>
      <c r="BQ570" t="s">
        <v>74</v>
      </c>
      <c r="BR570" t="s">
        <v>101</v>
      </c>
      <c r="BS570" t="s">
        <v>8965</v>
      </c>
      <c r="BT570" t="str">
        <f>HYPERLINK("https%3A%2F%2Fwww.webofscience.com%2Fwos%2Fwoscc%2Ffull-record%2FWOS:000233260400009","View Full Record in Web of Science")</f>
        <v>View Full Record in Web of Science</v>
      </c>
    </row>
    <row r="571" spans="1:72" x14ac:dyDescent="0.15">
      <c r="A571" t="s">
        <v>72</v>
      </c>
      <c r="B571" t="s">
        <v>8966</v>
      </c>
      <c r="C571" t="s">
        <v>74</v>
      </c>
      <c r="D571" t="s">
        <v>74</v>
      </c>
      <c r="E571" t="s">
        <v>74</v>
      </c>
      <c r="F571" t="s">
        <v>8966</v>
      </c>
      <c r="G571" t="s">
        <v>74</v>
      </c>
      <c r="H571" t="s">
        <v>74</v>
      </c>
      <c r="I571" t="s">
        <v>8967</v>
      </c>
      <c r="J571" t="s">
        <v>8968</v>
      </c>
      <c r="K571" t="s">
        <v>74</v>
      </c>
      <c r="L571" t="s">
        <v>74</v>
      </c>
      <c r="M571" t="s">
        <v>77</v>
      </c>
      <c r="N571" t="s">
        <v>78</v>
      </c>
      <c r="O571" t="s">
        <v>74</v>
      </c>
      <c r="P571" t="s">
        <v>74</v>
      </c>
      <c r="Q571" t="s">
        <v>74</v>
      </c>
      <c r="R571" t="s">
        <v>74</v>
      </c>
      <c r="S571" t="s">
        <v>74</v>
      </c>
      <c r="T571" t="s">
        <v>74</v>
      </c>
      <c r="U571" t="s">
        <v>74</v>
      </c>
      <c r="V571" t="s">
        <v>74</v>
      </c>
      <c r="W571" t="s">
        <v>8969</v>
      </c>
      <c r="X571" t="s">
        <v>8970</v>
      </c>
      <c r="Y571" t="s">
        <v>8971</v>
      </c>
      <c r="Z571" t="s">
        <v>8972</v>
      </c>
      <c r="AA571" t="s">
        <v>74</v>
      </c>
      <c r="AB571" t="s">
        <v>74</v>
      </c>
      <c r="AC571" t="s">
        <v>74</v>
      </c>
      <c r="AD571" t="s">
        <v>74</v>
      </c>
      <c r="AE571" t="s">
        <v>74</v>
      </c>
      <c r="AF571" t="s">
        <v>74</v>
      </c>
      <c r="AG571">
        <v>0</v>
      </c>
      <c r="AH571">
        <v>0</v>
      </c>
      <c r="AI571">
        <v>0</v>
      </c>
      <c r="AJ571">
        <v>0</v>
      </c>
      <c r="AK571">
        <v>0</v>
      </c>
      <c r="AL571" t="s">
        <v>8973</v>
      </c>
      <c r="AM571" t="s">
        <v>5486</v>
      </c>
      <c r="AN571" t="s">
        <v>8974</v>
      </c>
      <c r="AO571" t="s">
        <v>8975</v>
      </c>
      <c r="AP571" t="s">
        <v>74</v>
      </c>
      <c r="AQ571" t="s">
        <v>74</v>
      </c>
      <c r="AR571" t="s">
        <v>8976</v>
      </c>
      <c r="AS571" t="s">
        <v>8977</v>
      </c>
      <c r="AT571" t="s">
        <v>7971</v>
      </c>
      <c r="AU571">
        <v>2005</v>
      </c>
      <c r="AV571">
        <v>66</v>
      </c>
      <c r="AW571">
        <v>5</v>
      </c>
      <c r="AX571" t="s">
        <v>74</v>
      </c>
      <c r="AY571" t="s">
        <v>74</v>
      </c>
      <c r="AZ571" t="s">
        <v>74</v>
      </c>
      <c r="BA571" t="s">
        <v>74</v>
      </c>
      <c r="BB571">
        <v>642</v>
      </c>
      <c r="BC571">
        <v>644</v>
      </c>
      <c r="BD571" t="s">
        <v>74</v>
      </c>
      <c r="BE571" t="s">
        <v>74</v>
      </c>
      <c r="BF571" t="s">
        <v>74</v>
      </c>
      <c r="BG571" t="s">
        <v>74</v>
      </c>
      <c r="BH571" t="s">
        <v>74</v>
      </c>
      <c r="BI571">
        <v>3</v>
      </c>
      <c r="BJ571" t="s">
        <v>1129</v>
      </c>
      <c r="BK571" t="s">
        <v>98</v>
      </c>
      <c r="BL571" t="s">
        <v>1130</v>
      </c>
      <c r="BM571" t="s">
        <v>8978</v>
      </c>
      <c r="BN571" t="s">
        <v>74</v>
      </c>
      <c r="BO571" t="s">
        <v>74</v>
      </c>
      <c r="BP571" t="s">
        <v>74</v>
      </c>
      <c r="BQ571" t="s">
        <v>74</v>
      </c>
      <c r="BR571" t="s">
        <v>101</v>
      </c>
      <c r="BS571" t="s">
        <v>8979</v>
      </c>
      <c r="BT571" t="str">
        <f>HYPERLINK("https%3A%2F%2Fwww.webofscience.com%2Fwos%2Fwoscc%2Ffull-record%2FWOS:000234351400014","View Full Record in Web of Science")</f>
        <v>View Full Record in Web of Science</v>
      </c>
    </row>
    <row r="572" spans="1:72" x14ac:dyDescent="0.15">
      <c r="A572" t="s">
        <v>72</v>
      </c>
      <c r="B572" t="s">
        <v>8980</v>
      </c>
      <c r="C572" t="s">
        <v>74</v>
      </c>
      <c r="D572" t="s">
        <v>74</v>
      </c>
      <c r="E572" t="s">
        <v>74</v>
      </c>
      <c r="F572" t="s">
        <v>8980</v>
      </c>
      <c r="G572" t="s">
        <v>74</v>
      </c>
      <c r="H572" t="s">
        <v>74</v>
      </c>
      <c r="I572" t="s">
        <v>8981</v>
      </c>
      <c r="J572" t="s">
        <v>8982</v>
      </c>
      <c r="K572" t="s">
        <v>74</v>
      </c>
      <c r="L572" t="s">
        <v>74</v>
      </c>
      <c r="M572" t="s">
        <v>77</v>
      </c>
      <c r="N572" t="s">
        <v>78</v>
      </c>
      <c r="O572" t="s">
        <v>74</v>
      </c>
      <c r="P572" t="s">
        <v>74</v>
      </c>
      <c r="Q572" t="s">
        <v>74</v>
      </c>
      <c r="R572" t="s">
        <v>74</v>
      </c>
      <c r="S572" t="s">
        <v>74</v>
      </c>
      <c r="T572" t="s">
        <v>74</v>
      </c>
      <c r="U572" t="s">
        <v>8983</v>
      </c>
      <c r="V572" t="s">
        <v>8984</v>
      </c>
      <c r="W572" t="s">
        <v>8985</v>
      </c>
      <c r="X572" t="s">
        <v>8986</v>
      </c>
      <c r="Y572" t="s">
        <v>8987</v>
      </c>
      <c r="Z572" t="s">
        <v>8988</v>
      </c>
      <c r="AA572" t="s">
        <v>8989</v>
      </c>
      <c r="AB572" t="s">
        <v>8990</v>
      </c>
      <c r="AC572" t="s">
        <v>74</v>
      </c>
      <c r="AD572" t="s">
        <v>74</v>
      </c>
      <c r="AE572" t="s">
        <v>74</v>
      </c>
      <c r="AF572" t="s">
        <v>74</v>
      </c>
      <c r="AG572">
        <v>42</v>
      </c>
      <c r="AH572">
        <v>70</v>
      </c>
      <c r="AI572">
        <v>74</v>
      </c>
      <c r="AJ572">
        <v>0</v>
      </c>
      <c r="AK572">
        <v>21</v>
      </c>
      <c r="AL572" t="s">
        <v>2025</v>
      </c>
      <c r="AM572" t="s">
        <v>2026</v>
      </c>
      <c r="AN572" t="s">
        <v>2027</v>
      </c>
      <c r="AO572" t="s">
        <v>8991</v>
      </c>
      <c r="AP572" t="s">
        <v>8992</v>
      </c>
      <c r="AQ572" t="s">
        <v>74</v>
      </c>
      <c r="AR572" t="s">
        <v>8993</v>
      </c>
      <c r="AS572" t="s">
        <v>8994</v>
      </c>
      <c r="AT572" t="s">
        <v>7971</v>
      </c>
      <c r="AU572">
        <v>2005</v>
      </c>
      <c r="AV572">
        <v>50</v>
      </c>
      <c r="AW572">
        <v>6</v>
      </c>
      <c r="AX572" t="s">
        <v>74</v>
      </c>
      <c r="AY572" t="s">
        <v>74</v>
      </c>
      <c r="AZ572" t="s">
        <v>74</v>
      </c>
      <c r="BA572" t="s">
        <v>74</v>
      </c>
      <c r="BB572">
        <v>1844</v>
      </c>
      <c r="BC572">
        <v>1854</v>
      </c>
      <c r="BD572" t="s">
        <v>74</v>
      </c>
      <c r="BE572" t="s">
        <v>8995</v>
      </c>
      <c r="BF572" t="str">
        <f>HYPERLINK("http://dx.doi.org/10.4319/lo.2005.50.6.1844","http://dx.doi.org/10.4319/lo.2005.50.6.1844")</f>
        <v>http://dx.doi.org/10.4319/lo.2005.50.6.1844</v>
      </c>
      <c r="BG572" t="s">
        <v>74</v>
      </c>
      <c r="BH572" t="s">
        <v>74</v>
      </c>
      <c r="BI572">
        <v>11</v>
      </c>
      <c r="BJ572" t="s">
        <v>6500</v>
      </c>
      <c r="BK572" t="s">
        <v>98</v>
      </c>
      <c r="BL572" t="s">
        <v>3720</v>
      </c>
      <c r="BM572" t="s">
        <v>8996</v>
      </c>
      <c r="BN572" t="s">
        <v>74</v>
      </c>
      <c r="BO572" t="s">
        <v>2248</v>
      </c>
      <c r="BP572" t="s">
        <v>74</v>
      </c>
      <c r="BQ572" t="s">
        <v>74</v>
      </c>
      <c r="BR572" t="s">
        <v>101</v>
      </c>
      <c r="BS572" t="s">
        <v>8997</v>
      </c>
      <c r="BT572" t="str">
        <f>HYPERLINK("https%3A%2F%2Fwww.webofscience.com%2Fwos%2Fwoscc%2Ffull-record%2FWOS:000233370600014","View Full Record in Web of Science")</f>
        <v>View Full Record in Web of Science</v>
      </c>
    </row>
    <row r="573" spans="1:72" x14ac:dyDescent="0.15">
      <c r="A573" t="s">
        <v>72</v>
      </c>
      <c r="B573" t="s">
        <v>8998</v>
      </c>
      <c r="C573" t="s">
        <v>74</v>
      </c>
      <c r="D573" t="s">
        <v>74</v>
      </c>
      <c r="E573" t="s">
        <v>74</v>
      </c>
      <c r="F573" t="s">
        <v>8998</v>
      </c>
      <c r="G573" t="s">
        <v>74</v>
      </c>
      <c r="H573" t="s">
        <v>74</v>
      </c>
      <c r="I573" t="s">
        <v>8999</v>
      </c>
      <c r="J573" t="s">
        <v>9000</v>
      </c>
      <c r="K573" t="s">
        <v>74</v>
      </c>
      <c r="L573" t="s">
        <v>74</v>
      </c>
      <c r="M573" t="s">
        <v>77</v>
      </c>
      <c r="N573" t="s">
        <v>289</v>
      </c>
      <c r="O573" t="s">
        <v>74</v>
      </c>
      <c r="P573" t="s">
        <v>74</v>
      </c>
      <c r="Q573" t="s">
        <v>74</v>
      </c>
      <c r="R573" t="s">
        <v>74</v>
      </c>
      <c r="S573" t="s">
        <v>74</v>
      </c>
      <c r="T573" t="s">
        <v>9001</v>
      </c>
      <c r="U573" t="s">
        <v>9002</v>
      </c>
      <c r="V573" t="s">
        <v>9003</v>
      </c>
      <c r="W573" t="s">
        <v>9004</v>
      </c>
      <c r="X573" t="s">
        <v>9005</v>
      </c>
      <c r="Y573" t="s">
        <v>9006</v>
      </c>
      <c r="Z573" t="s">
        <v>9007</v>
      </c>
      <c r="AA573" t="s">
        <v>9008</v>
      </c>
      <c r="AB573" t="s">
        <v>9009</v>
      </c>
      <c r="AC573" t="s">
        <v>9010</v>
      </c>
      <c r="AD573" t="s">
        <v>735</v>
      </c>
      <c r="AE573" t="s">
        <v>74</v>
      </c>
      <c r="AF573" t="s">
        <v>74</v>
      </c>
      <c r="AG573">
        <v>151</v>
      </c>
      <c r="AH573">
        <v>42</v>
      </c>
      <c r="AI573">
        <v>44</v>
      </c>
      <c r="AJ573">
        <v>0</v>
      </c>
      <c r="AK573">
        <v>7</v>
      </c>
      <c r="AL573" t="s">
        <v>139</v>
      </c>
      <c r="AM573" t="s">
        <v>140</v>
      </c>
      <c r="AN573" t="s">
        <v>141</v>
      </c>
      <c r="AO573" t="s">
        <v>9011</v>
      </c>
      <c r="AP573" t="s">
        <v>9012</v>
      </c>
      <c r="AQ573" t="s">
        <v>74</v>
      </c>
      <c r="AR573" t="s">
        <v>9013</v>
      </c>
      <c r="AS573" t="s">
        <v>9014</v>
      </c>
      <c r="AT573" t="s">
        <v>7952</v>
      </c>
      <c r="AU573">
        <v>2005</v>
      </c>
      <c r="AV573">
        <v>22</v>
      </c>
      <c r="AW573" t="s">
        <v>2460</v>
      </c>
      <c r="AX573" t="s">
        <v>74</v>
      </c>
      <c r="AY573" t="s">
        <v>74</v>
      </c>
      <c r="AZ573" t="s">
        <v>74</v>
      </c>
      <c r="BA573" t="s">
        <v>74</v>
      </c>
      <c r="BB573">
        <v>1149</v>
      </c>
      <c r="BC573">
        <v>1183</v>
      </c>
      <c r="BD573" t="s">
        <v>74</v>
      </c>
      <c r="BE573" t="s">
        <v>9015</v>
      </c>
      <c r="BF573" t="str">
        <f>HYPERLINK("http://dx.doi.org/10.1016/j.marpetgeo.2004.12.007","http://dx.doi.org/10.1016/j.marpetgeo.2004.12.007")</f>
        <v>http://dx.doi.org/10.1016/j.marpetgeo.2004.12.007</v>
      </c>
      <c r="BG573" t="s">
        <v>74</v>
      </c>
      <c r="BH573" t="s">
        <v>74</v>
      </c>
      <c r="BI573">
        <v>35</v>
      </c>
      <c r="BJ573" t="s">
        <v>1129</v>
      </c>
      <c r="BK573" t="s">
        <v>98</v>
      </c>
      <c r="BL573" t="s">
        <v>1130</v>
      </c>
      <c r="BM573" t="s">
        <v>9016</v>
      </c>
      <c r="BN573" t="s">
        <v>74</v>
      </c>
      <c r="BO573" t="s">
        <v>74</v>
      </c>
      <c r="BP573" t="s">
        <v>74</v>
      </c>
      <c r="BQ573" t="s">
        <v>74</v>
      </c>
      <c r="BR573" t="s">
        <v>101</v>
      </c>
      <c r="BS573" t="s">
        <v>9017</v>
      </c>
      <c r="BT573" t="str">
        <f>HYPERLINK("https%3A%2F%2Fwww.webofscience.com%2Fwos%2Fwoscc%2Ffull-record%2FWOS:000234071700011","View Full Record in Web of Science")</f>
        <v>View Full Record in Web of Science</v>
      </c>
    </row>
    <row r="574" spans="1:72" x14ac:dyDescent="0.15">
      <c r="A574" t="s">
        <v>72</v>
      </c>
      <c r="B574" t="s">
        <v>9018</v>
      </c>
      <c r="C574" t="s">
        <v>74</v>
      </c>
      <c r="D574" t="s">
        <v>74</v>
      </c>
      <c r="E574" t="s">
        <v>74</v>
      </c>
      <c r="F574" t="s">
        <v>9018</v>
      </c>
      <c r="G574" t="s">
        <v>74</v>
      </c>
      <c r="H574" t="s">
        <v>74</v>
      </c>
      <c r="I574" t="s">
        <v>9019</v>
      </c>
      <c r="J574" t="s">
        <v>6505</v>
      </c>
      <c r="K574" t="s">
        <v>74</v>
      </c>
      <c r="L574" t="s">
        <v>74</v>
      </c>
      <c r="M574" t="s">
        <v>77</v>
      </c>
      <c r="N574" t="s">
        <v>78</v>
      </c>
      <c r="O574" t="s">
        <v>74</v>
      </c>
      <c r="P574" t="s">
        <v>74</v>
      </c>
      <c r="Q574" t="s">
        <v>74</v>
      </c>
      <c r="R574" t="s">
        <v>74</v>
      </c>
      <c r="S574" t="s">
        <v>74</v>
      </c>
      <c r="T574" t="s">
        <v>74</v>
      </c>
      <c r="U574" t="s">
        <v>9020</v>
      </c>
      <c r="V574" t="s">
        <v>9021</v>
      </c>
      <c r="W574" t="s">
        <v>9022</v>
      </c>
      <c r="X574" t="s">
        <v>9023</v>
      </c>
      <c r="Y574" t="s">
        <v>9024</v>
      </c>
      <c r="Z574" t="s">
        <v>9025</v>
      </c>
      <c r="AA574" t="s">
        <v>9026</v>
      </c>
      <c r="AB574" t="s">
        <v>9027</v>
      </c>
      <c r="AC574" t="s">
        <v>74</v>
      </c>
      <c r="AD574" t="s">
        <v>74</v>
      </c>
      <c r="AE574" t="s">
        <v>74</v>
      </c>
      <c r="AF574" t="s">
        <v>74</v>
      </c>
      <c r="AG574">
        <v>26</v>
      </c>
      <c r="AH574">
        <v>20</v>
      </c>
      <c r="AI574">
        <v>25</v>
      </c>
      <c r="AJ574">
        <v>3</v>
      </c>
      <c r="AK574">
        <v>24</v>
      </c>
      <c r="AL574" t="s">
        <v>88</v>
      </c>
      <c r="AM574" t="s">
        <v>89</v>
      </c>
      <c r="AN574" t="s">
        <v>4001</v>
      </c>
      <c r="AO574" t="s">
        <v>6517</v>
      </c>
      <c r="AP574" t="s">
        <v>74</v>
      </c>
      <c r="AQ574" t="s">
        <v>74</v>
      </c>
      <c r="AR574" t="s">
        <v>6519</v>
      </c>
      <c r="AS574" t="s">
        <v>6520</v>
      </c>
      <c r="AT574" t="s">
        <v>7971</v>
      </c>
      <c r="AU574">
        <v>2005</v>
      </c>
      <c r="AV574">
        <v>148</v>
      </c>
      <c r="AW574">
        <v>1</v>
      </c>
      <c r="AX574" t="s">
        <v>74</v>
      </c>
      <c r="AY574" t="s">
        <v>74</v>
      </c>
      <c r="AZ574" t="s">
        <v>74</v>
      </c>
      <c r="BA574" t="s">
        <v>74</v>
      </c>
      <c r="BB574">
        <v>43</v>
      </c>
      <c r="BC574">
        <v>50</v>
      </c>
      <c r="BD574" t="s">
        <v>74</v>
      </c>
      <c r="BE574" t="s">
        <v>9028</v>
      </c>
      <c r="BF574" t="str">
        <f>HYPERLINK("http://dx.doi.org/10.1007/s00227-005-0032-3","http://dx.doi.org/10.1007/s00227-005-0032-3")</f>
        <v>http://dx.doi.org/10.1007/s00227-005-0032-3</v>
      </c>
      <c r="BG574" t="s">
        <v>74</v>
      </c>
      <c r="BH574" t="s">
        <v>74</v>
      </c>
      <c r="BI574">
        <v>8</v>
      </c>
      <c r="BJ574" t="s">
        <v>206</v>
      </c>
      <c r="BK574" t="s">
        <v>98</v>
      </c>
      <c r="BL574" t="s">
        <v>206</v>
      </c>
      <c r="BM574" t="s">
        <v>9029</v>
      </c>
      <c r="BN574" t="s">
        <v>74</v>
      </c>
      <c r="BO574" t="s">
        <v>74</v>
      </c>
      <c r="BP574" t="s">
        <v>74</v>
      </c>
      <c r="BQ574" t="s">
        <v>74</v>
      </c>
      <c r="BR574" t="s">
        <v>101</v>
      </c>
      <c r="BS574" t="s">
        <v>9030</v>
      </c>
      <c r="BT574" t="str">
        <f>HYPERLINK("https%3A%2F%2Fwww.webofscience.com%2Fwos%2Fwoscc%2Ffull-record%2FWOS:000233043800005","View Full Record in Web of Science")</f>
        <v>View Full Record in Web of Science</v>
      </c>
    </row>
    <row r="575" spans="1:72" x14ac:dyDescent="0.15">
      <c r="A575" t="s">
        <v>72</v>
      </c>
      <c r="B575" t="s">
        <v>9031</v>
      </c>
      <c r="C575" t="s">
        <v>74</v>
      </c>
      <c r="D575" t="s">
        <v>74</v>
      </c>
      <c r="E575" t="s">
        <v>74</v>
      </c>
      <c r="F575" t="s">
        <v>9031</v>
      </c>
      <c r="G575" t="s">
        <v>74</v>
      </c>
      <c r="H575" t="s">
        <v>74</v>
      </c>
      <c r="I575" t="s">
        <v>9032</v>
      </c>
      <c r="J575" t="s">
        <v>6505</v>
      </c>
      <c r="K575" t="s">
        <v>74</v>
      </c>
      <c r="L575" t="s">
        <v>74</v>
      </c>
      <c r="M575" t="s">
        <v>77</v>
      </c>
      <c r="N575" t="s">
        <v>78</v>
      </c>
      <c r="O575" t="s">
        <v>74</v>
      </c>
      <c r="P575" t="s">
        <v>74</v>
      </c>
      <c r="Q575" t="s">
        <v>74</v>
      </c>
      <c r="R575" t="s">
        <v>74</v>
      </c>
      <c r="S575" t="s">
        <v>74</v>
      </c>
      <c r="T575" t="s">
        <v>74</v>
      </c>
      <c r="U575" t="s">
        <v>9033</v>
      </c>
      <c r="V575" t="s">
        <v>9034</v>
      </c>
      <c r="W575" t="s">
        <v>9035</v>
      </c>
      <c r="X575" t="s">
        <v>9036</v>
      </c>
      <c r="Y575" t="s">
        <v>9037</v>
      </c>
      <c r="Z575" t="s">
        <v>9038</v>
      </c>
      <c r="AA575" t="s">
        <v>74</v>
      </c>
      <c r="AB575" t="s">
        <v>74</v>
      </c>
      <c r="AC575" t="s">
        <v>74</v>
      </c>
      <c r="AD575" t="s">
        <v>74</v>
      </c>
      <c r="AE575" t="s">
        <v>74</v>
      </c>
      <c r="AF575" t="s">
        <v>74</v>
      </c>
      <c r="AG575">
        <v>37</v>
      </c>
      <c r="AH575">
        <v>19</v>
      </c>
      <c r="AI575">
        <v>21</v>
      </c>
      <c r="AJ575">
        <v>0</v>
      </c>
      <c r="AK575">
        <v>8</v>
      </c>
      <c r="AL575" t="s">
        <v>88</v>
      </c>
      <c r="AM575" t="s">
        <v>89</v>
      </c>
      <c r="AN575" t="s">
        <v>4001</v>
      </c>
      <c r="AO575" t="s">
        <v>6517</v>
      </c>
      <c r="AP575" t="s">
        <v>74</v>
      </c>
      <c r="AQ575" t="s">
        <v>74</v>
      </c>
      <c r="AR575" t="s">
        <v>6519</v>
      </c>
      <c r="AS575" t="s">
        <v>6520</v>
      </c>
      <c r="AT575" t="s">
        <v>7971</v>
      </c>
      <c r="AU575">
        <v>2005</v>
      </c>
      <c r="AV575">
        <v>148</v>
      </c>
      <c r="AW575">
        <v>1</v>
      </c>
      <c r="AX575" t="s">
        <v>74</v>
      </c>
      <c r="AY575" t="s">
        <v>74</v>
      </c>
      <c r="AZ575" t="s">
        <v>74</v>
      </c>
      <c r="BA575" t="s">
        <v>74</v>
      </c>
      <c r="BB575">
        <v>59</v>
      </c>
      <c r="BC575">
        <v>71</v>
      </c>
      <c r="BD575" t="s">
        <v>74</v>
      </c>
      <c r="BE575" t="s">
        <v>9039</v>
      </c>
      <c r="BF575" t="str">
        <f>HYPERLINK("http://dx.doi.org/10.1007/s00227-005-0069-3","http://dx.doi.org/10.1007/s00227-005-0069-3")</f>
        <v>http://dx.doi.org/10.1007/s00227-005-0069-3</v>
      </c>
      <c r="BG575" t="s">
        <v>74</v>
      </c>
      <c r="BH575" t="s">
        <v>74</v>
      </c>
      <c r="BI575">
        <v>13</v>
      </c>
      <c r="BJ575" t="s">
        <v>206</v>
      </c>
      <c r="BK575" t="s">
        <v>98</v>
      </c>
      <c r="BL575" t="s">
        <v>206</v>
      </c>
      <c r="BM575" t="s">
        <v>9029</v>
      </c>
      <c r="BN575" t="s">
        <v>74</v>
      </c>
      <c r="BO575" t="s">
        <v>74</v>
      </c>
      <c r="BP575" t="s">
        <v>74</v>
      </c>
      <c r="BQ575" t="s">
        <v>74</v>
      </c>
      <c r="BR575" t="s">
        <v>101</v>
      </c>
      <c r="BS575" t="s">
        <v>9040</v>
      </c>
      <c r="BT575" t="str">
        <f>HYPERLINK("https%3A%2F%2Fwww.webofscience.com%2Fwos%2Fwoscc%2Ffull-record%2FWOS:000233043800007","View Full Record in Web of Science")</f>
        <v>View Full Record in Web of Science</v>
      </c>
    </row>
    <row r="576" spans="1:72" x14ac:dyDescent="0.15">
      <c r="A576" t="s">
        <v>72</v>
      </c>
      <c r="B576" t="s">
        <v>9041</v>
      </c>
      <c r="C576" t="s">
        <v>74</v>
      </c>
      <c r="D576" t="s">
        <v>74</v>
      </c>
      <c r="E576" t="s">
        <v>74</v>
      </c>
      <c r="F576" t="s">
        <v>9041</v>
      </c>
      <c r="G576" t="s">
        <v>74</v>
      </c>
      <c r="H576" t="s">
        <v>74</v>
      </c>
      <c r="I576" t="s">
        <v>9042</v>
      </c>
      <c r="J576" t="s">
        <v>9043</v>
      </c>
      <c r="K576" t="s">
        <v>74</v>
      </c>
      <c r="L576" t="s">
        <v>74</v>
      </c>
      <c r="M576" t="s">
        <v>77</v>
      </c>
      <c r="N576" t="s">
        <v>4570</v>
      </c>
      <c r="O576" t="s">
        <v>74</v>
      </c>
      <c r="P576" t="s">
        <v>74</v>
      </c>
      <c r="Q576" t="s">
        <v>74</v>
      </c>
      <c r="R576" t="s">
        <v>74</v>
      </c>
      <c r="S576" t="s">
        <v>74</v>
      </c>
      <c r="T576" t="s">
        <v>74</v>
      </c>
      <c r="U576" t="s">
        <v>74</v>
      </c>
      <c r="V576" t="s">
        <v>74</v>
      </c>
      <c r="W576" t="s">
        <v>9044</v>
      </c>
      <c r="X576" t="s">
        <v>74</v>
      </c>
      <c r="Y576" t="s">
        <v>9045</v>
      </c>
      <c r="Z576" t="s">
        <v>74</v>
      </c>
      <c r="AA576" t="s">
        <v>74</v>
      </c>
      <c r="AB576" t="s">
        <v>74</v>
      </c>
      <c r="AC576" t="s">
        <v>74</v>
      </c>
      <c r="AD576" t="s">
        <v>74</v>
      </c>
      <c r="AE576" t="s">
        <v>74</v>
      </c>
      <c r="AF576" t="s">
        <v>74</v>
      </c>
      <c r="AG576">
        <v>1</v>
      </c>
      <c r="AH576">
        <v>0</v>
      </c>
      <c r="AI576">
        <v>0</v>
      </c>
      <c r="AJ576">
        <v>0</v>
      </c>
      <c r="AK576">
        <v>2</v>
      </c>
      <c r="AL576" t="s">
        <v>9046</v>
      </c>
      <c r="AM576" t="s">
        <v>1055</v>
      </c>
      <c r="AN576" t="s">
        <v>9047</v>
      </c>
      <c r="AO576" t="s">
        <v>9048</v>
      </c>
      <c r="AP576" t="s">
        <v>74</v>
      </c>
      <c r="AQ576" t="s">
        <v>74</v>
      </c>
      <c r="AR576" t="s">
        <v>9043</v>
      </c>
      <c r="AS576" t="s">
        <v>9049</v>
      </c>
      <c r="AT576" t="s">
        <v>7971</v>
      </c>
      <c r="AU576">
        <v>2005</v>
      </c>
      <c r="AV576">
        <v>91</v>
      </c>
      <c r="AW576">
        <v>4</v>
      </c>
      <c r="AX576" t="s">
        <v>74</v>
      </c>
      <c r="AY576" t="s">
        <v>74</v>
      </c>
      <c r="AZ576" t="s">
        <v>74</v>
      </c>
      <c r="BA576" t="s">
        <v>74</v>
      </c>
      <c r="BB576">
        <v>633</v>
      </c>
      <c r="BC576">
        <v>634</v>
      </c>
      <c r="BD576" t="s">
        <v>74</v>
      </c>
      <c r="BE576" t="s">
        <v>74</v>
      </c>
      <c r="BF576" t="s">
        <v>74</v>
      </c>
      <c r="BG576" t="s">
        <v>74</v>
      </c>
      <c r="BH576" t="s">
        <v>74</v>
      </c>
      <c r="BI576">
        <v>2</v>
      </c>
      <c r="BJ576" t="s">
        <v>4578</v>
      </c>
      <c r="BK576" t="s">
        <v>4614</v>
      </c>
      <c r="BL576" t="s">
        <v>4578</v>
      </c>
      <c r="BM576" t="s">
        <v>9050</v>
      </c>
      <c r="BN576" t="s">
        <v>74</v>
      </c>
      <c r="BO576" t="s">
        <v>74</v>
      </c>
      <c r="BP576" t="s">
        <v>74</v>
      </c>
      <c r="BQ576" t="s">
        <v>74</v>
      </c>
      <c r="BR576" t="s">
        <v>101</v>
      </c>
      <c r="BS576" t="s">
        <v>9051</v>
      </c>
      <c r="BT576" t="str">
        <f>HYPERLINK("https%3A%2F%2Fwww.webofscience.com%2Fwos%2Fwoscc%2Ffull-record%2FWOS:000233267300036","View Full Record in Web of Science")</f>
        <v>View Full Record in Web of Science</v>
      </c>
    </row>
    <row r="577" spans="1:72" x14ac:dyDescent="0.15">
      <c r="A577" t="s">
        <v>72</v>
      </c>
      <c r="B577" t="s">
        <v>9052</v>
      </c>
      <c r="C577" t="s">
        <v>74</v>
      </c>
      <c r="D577" t="s">
        <v>74</v>
      </c>
      <c r="E577" t="s">
        <v>74</v>
      </c>
      <c r="F577" t="s">
        <v>9052</v>
      </c>
      <c r="G577" t="s">
        <v>74</v>
      </c>
      <c r="H577" t="s">
        <v>74</v>
      </c>
      <c r="I577" t="s">
        <v>9053</v>
      </c>
      <c r="J577" t="s">
        <v>3232</v>
      </c>
      <c r="K577" t="s">
        <v>74</v>
      </c>
      <c r="L577" t="s">
        <v>74</v>
      </c>
      <c r="M577" t="s">
        <v>77</v>
      </c>
      <c r="N577" t="s">
        <v>78</v>
      </c>
      <c r="O577" t="s">
        <v>74</v>
      </c>
      <c r="P577" t="s">
        <v>74</v>
      </c>
      <c r="Q577" t="s">
        <v>74</v>
      </c>
      <c r="R577" t="s">
        <v>74</v>
      </c>
      <c r="S577" t="s">
        <v>74</v>
      </c>
      <c r="T577" t="s">
        <v>74</v>
      </c>
      <c r="U577" t="s">
        <v>9054</v>
      </c>
      <c r="V577" t="s">
        <v>9055</v>
      </c>
      <c r="W577" t="s">
        <v>9056</v>
      </c>
      <c r="X577" t="s">
        <v>9057</v>
      </c>
      <c r="Y577" t="s">
        <v>9058</v>
      </c>
      <c r="Z577" t="s">
        <v>9059</v>
      </c>
      <c r="AA577" t="s">
        <v>9060</v>
      </c>
      <c r="AB577" t="s">
        <v>9061</v>
      </c>
      <c r="AC577" t="s">
        <v>74</v>
      </c>
      <c r="AD577" t="s">
        <v>74</v>
      </c>
      <c r="AE577" t="s">
        <v>74</v>
      </c>
      <c r="AF577" t="s">
        <v>74</v>
      </c>
      <c r="AG577">
        <v>23</v>
      </c>
      <c r="AH577">
        <v>21</v>
      </c>
      <c r="AI577">
        <v>28</v>
      </c>
      <c r="AJ577">
        <v>1</v>
      </c>
      <c r="AK577">
        <v>9</v>
      </c>
      <c r="AL577" t="s">
        <v>3239</v>
      </c>
      <c r="AM577" t="s">
        <v>3240</v>
      </c>
      <c r="AN577" t="s">
        <v>3241</v>
      </c>
      <c r="AO577" t="s">
        <v>3242</v>
      </c>
      <c r="AP577" t="s">
        <v>74</v>
      </c>
      <c r="AQ577" t="s">
        <v>74</v>
      </c>
      <c r="AR577" t="s">
        <v>3243</v>
      </c>
      <c r="AS577" t="s">
        <v>3244</v>
      </c>
      <c r="AT577" t="s">
        <v>7971</v>
      </c>
      <c r="AU577">
        <v>2005</v>
      </c>
      <c r="AV577">
        <v>40</v>
      </c>
      <c r="AW577">
        <v>11</v>
      </c>
      <c r="AX577" t="s">
        <v>74</v>
      </c>
      <c r="AY577" t="s">
        <v>74</v>
      </c>
      <c r="AZ577" t="s">
        <v>74</v>
      </c>
      <c r="BA577" t="s">
        <v>74</v>
      </c>
      <c r="BB577">
        <v>1621</v>
      </c>
      <c r="BC577">
        <v>1634</v>
      </c>
      <c r="BD577" t="s">
        <v>74</v>
      </c>
      <c r="BE577" t="s">
        <v>9062</v>
      </c>
      <c r="BF577" t="str">
        <f>HYPERLINK("http://dx.doi.org/10.1111/j.1945-5100.2005.tb00135.x","http://dx.doi.org/10.1111/j.1945-5100.2005.tb00135.x")</f>
        <v>http://dx.doi.org/10.1111/j.1945-5100.2005.tb00135.x</v>
      </c>
      <c r="BG577" t="s">
        <v>74</v>
      </c>
      <c r="BH577" t="s">
        <v>74</v>
      </c>
      <c r="BI577">
        <v>14</v>
      </c>
      <c r="BJ577" t="s">
        <v>1348</v>
      </c>
      <c r="BK577" t="s">
        <v>98</v>
      </c>
      <c r="BL577" t="s">
        <v>1348</v>
      </c>
      <c r="BM577" t="s">
        <v>9063</v>
      </c>
      <c r="BN577" t="s">
        <v>74</v>
      </c>
      <c r="BO577" t="s">
        <v>74</v>
      </c>
      <c r="BP577" t="s">
        <v>74</v>
      </c>
      <c r="BQ577" t="s">
        <v>74</v>
      </c>
      <c r="BR577" t="s">
        <v>101</v>
      </c>
      <c r="BS577" t="s">
        <v>9064</v>
      </c>
      <c r="BT577" t="str">
        <f>HYPERLINK("https%3A%2F%2Fwww.webofscience.com%2Fwos%2Fwoscc%2Ffull-record%2FWOS:000234701500005","View Full Record in Web of Science")</f>
        <v>View Full Record in Web of Science</v>
      </c>
    </row>
    <row r="578" spans="1:72" x14ac:dyDescent="0.15">
      <c r="A578" t="s">
        <v>72</v>
      </c>
      <c r="B578" t="s">
        <v>9065</v>
      </c>
      <c r="C578" t="s">
        <v>74</v>
      </c>
      <c r="D578" t="s">
        <v>74</v>
      </c>
      <c r="E578" t="s">
        <v>74</v>
      </c>
      <c r="F578" t="s">
        <v>9065</v>
      </c>
      <c r="G578" t="s">
        <v>74</v>
      </c>
      <c r="H578" t="s">
        <v>74</v>
      </c>
      <c r="I578" t="s">
        <v>9066</v>
      </c>
      <c r="J578" t="s">
        <v>9067</v>
      </c>
      <c r="K578" t="s">
        <v>74</v>
      </c>
      <c r="L578" t="s">
        <v>74</v>
      </c>
      <c r="M578" t="s">
        <v>77</v>
      </c>
      <c r="N578" t="s">
        <v>78</v>
      </c>
      <c r="O578" t="s">
        <v>74</v>
      </c>
      <c r="P578" t="s">
        <v>74</v>
      </c>
      <c r="Q578" t="s">
        <v>74</v>
      </c>
      <c r="R578" t="s">
        <v>74</v>
      </c>
      <c r="S578" t="s">
        <v>74</v>
      </c>
      <c r="T578" t="s">
        <v>9068</v>
      </c>
      <c r="U578" t="s">
        <v>9069</v>
      </c>
      <c r="V578" t="s">
        <v>9070</v>
      </c>
      <c r="W578" t="s">
        <v>9071</v>
      </c>
      <c r="X578" t="s">
        <v>9072</v>
      </c>
      <c r="Y578" t="s">
        <v>9073</v>
      </c>
      <c r="Z578" t="s">
        <v>9074</v>
      </c>
      <c r="AA578" t="s">
        <v>74</v>
      </c>
      <c r="AB578" t="s">
        <v>9075</v>
      </c>
      <c r="AC578" t="s">
        <v>74</v>
      </c>
      <c r="AD578" t="s">
        <v>74</v>
      </c>
      <c r="AE578" t="s">
        <v>74</v>
      </c>
      <c r="AF578" t="s">
        <v>74</v>
      </c>
      <c r="AG578">
        <v>59</v>
      </c>
      <c r="AH578">
        <v>30</v>
      </c>
      <c r="AI578">
        <v>36</v>
      </c>
      <c r="AJ578">
        <v>0</v>
      </c>
      <c r="AK578">
        <v>23</v>
      </c>
      <c r="AL578" t="s">
        <v>2025</v>
      </c>
      <c r="AM578" t="s">
        <v>2026</v>
      </c>
      <c r="AN578" t="s">
        <v>2027</v>
      </c>
      <c r="AO578" t="s">
        <v>9076</v>
      </c>
      <c r="AP578" t="s">
        <v>9077</v>
      </c>
      <c r="AQ578" t="s">
        <v>74</v>
      </c>
      <c r="AR578" t="s">
        <v>9078</v>
      </c>
      <c r="AS578" t="s">
        <v>9079</v>
      </c>
      <c r="AT578" t="s">
        <v>7971</v>
      </c>
      <c r="AU578">
        <v>2005</v>
      </c>
      <c r="AV578">
        <v>168</v>
      </c>
      <c r="AW578">
        <v>2</v>
      </c>
      <c r="AX578" t="s">
        <v>74</v>
      </c>
      <c r="AY578" t="s">
        <v>74</v>
      </c>
      <c r="AZ578" t="s">
        <v>74</v>
      </c>
      <c r="BA578" t="s">
        <v>74</v>
      </c>
      <c r="BB578">
        <v>423</v>
      </c>
      <c r="BC578">
        <v>433</v>
      </c>
      <c r="BD578" t="s">
        <v>74</v>
      </c>
      <c r="BE578" t="s">
        <v>9080</v>
      </c>
      <c r="BF578" t="str">
        <f>HYPERLINK("http://dx.doi.org/10.1111/j.1469-8137.2005.01524.x","http://dx.doi.org/10.1111/j.1469-8137.2005.01524.x")</f>
        <v>http://dx.doi.org/10.1111/j.1469-8137.2005.01524.x</v>
      </c>
      <c r="BG578" t="s">
        <v>74</v>
      </c>
      <c r="BH578" t="s">
        <v>74</v>
      </c>
      <c r="BI578">
        <v>11</v>
      </c>
      <c r="BJ578" t="s">
        <v>574</v>
      </c>
      <c r="BK578" t="s">
        <v>98</v>
      </c>
      <c r="BL578" t="s">
        <v>574</v>
      </c>
      <c r="BM578" t="s">
        <v>9081</v>
      </c>
      <c r="BN578">
        <v>16219081</v>
      </c>
      <c r="BO578" t="s">
        <v>1900</v>
      </c>
      <c r="BP578" t="s">
        <v>74</v>
      </c>
      <c r="BQ578" t="s">
        <v>74</v>
      </c>
      <c r="BR578" t="s">
        <v>101</v>
      </c>
      <c r="BS578" t="s">
        <v>9082</v>
      </c>
      <c r="BT578" t="str">
        <f>HYPERLINK("https%3A%2F%2Fwww.webofscience.com%2Fwos%2Fwoscc%2Ffull-record%2FWOS:000232441600018","View Full Record in Web of Science")</f>
        <v>View Full Record in Web of Science</v>
      </c>
    </row>
    <row r="579" spans="1:72" x14ac:dyDescent="0.15">
      <c r="A579" t="s">
        <v>72</v>
      </c>
      <c r="B579" t="s">
        <v>9083</v>
      </c>
      <c r="C579" t="s">
        <v>74</v>
      </c>
      <c r="D579" t="s">
        <v>74</v>
      </c>
      <c r="E579" t="s">
        <v>74</v>
      </c>
      <c r="F579" t="s">
        <v>9083</v>
      </c>
      <c r="G579" t="s">
        <v>74</v>
      </c>
      <c r="H579" t="s">
        <v>74</v>
      </c>
      <c r="I579" t="s">
        <v>9084</v>
      </c>
      <c r="J579" t="s">
        <v>9085</v>
      </c>
      <c r="K579" t="s">
        <v>74</v>
      </c>
      <c r="L579" t="s">
        <v>74</v>
      </c>
      <c r="M579" t="s">
        <v>77</v>
      </c>
      <c r="N579" t="s">
        <v>78</v>
      </c>
      <c r="O579" t="s">
        <v>74</v>
      </c>
      <c r="P579" t="s">
        <v>74</v>
      </c>
      <c r="Q579" t="s">
        <v>74</v>
      </c>
      <c r="R579" t="s">
        <v>74</v>
      </c>
      <c r="S579" t="s">
        <v>74</v>
      </c>
      <c r="T579" t="s">
        <v>9086</v>
      </c>
      <c r="U579" t="s">
        <v>9087</v>
      </c>
      <c r="V579" t="s">
        <v>9088</v>
      </c>
      <c r="W579" t="s">
        <v>9089</v>
      </c>
      <c r="X579" t="s">
        <v>426</v>
      </c>
      <c r="Y579" t="s">
        <v>9090</v>
      </c>
      <c r="Z579" t="s">
        <v>9091</v>
      </c>
      <c r="AA579" t="s">
        <v>9092</v>
      </c>
      <c r="AB579" t="s">
        <v>9093</v>
      </c>
      <c r="AC579" t="s">
        <v>74</v>
      </c>
      <c r="AD579" t="s">
        <v>74</v>
      </c>
      <c r="AE579" t="s">
        <v>74</v>
      </c>
      <c r="AF579" t="s">
        <v>74</v>
      </c>
      <c r="AG579">
        <v>45</v>
      </c>
      <c r="AH579">
        <v>13</v>
      </c>
      <c r="AI579">
        <v>13</v>
      </c>
      <c r="AJ579">
        <v>0</v>
      </c>
      <c r="AK579">
        <v>5</v>
      </c>
      <c r="AL579" t="s">
        <v>6514</v>
      </c>
      <c r="AM579" t="s">
        <v>6515</v>
      </c>
      <c r="AN579" t="s">
        <v>6516</v>
      </c>
      <c r="AO579" t="s">
        <v>9094</v>
      </c>
      <c r="AP579" t="s">
        <v>9095</v>
      </c>
      <c r="AQ579" t="s">
        <v>74</v>
      </c>
      <c r="AR579" t="s">
        <v>9096</v>
      </c>
      <c r="AS579" t="s">
        <v>9097</v>
      </c>
      <c r="AT579" t="s">
        <v>7971</v>
      </c>
      <c r="AU579">
        <v>2005</v>
      </c>
      <c r="AV579">
        <v>55</v>
      </c>
      <c r="AW579">
        <v>2</v>
      </c>
      <c r="AX579" t="s">
        <v>74</v>
      </c>
      <c r="AY579" t="s">
        <v>74</v>
      </c>
      <c r="AZ579" t="s">
        <v>74</v>
      </c>
      <c r="BA579" t="s">
        <v>74</v>
      </c>
      <c r="BB579">
        <v>88</v>
      </c>
      <c r="BC579">
        <v>99</v>
      </c>
      <c r="BD579" t="s">
        <v>74</v>
      </c>
      <c r="BE579" t="s">
        <v>9098</v>
      </c>
      <c r="BF579" t="str">
        <f>HYPERLINK("http://dx.doi.org/10.1007/s10236-005-0112-4","http://dx.doi.org/10.1007/s10236-005-0112-4")</f>
        <v>http://dx.doi.org/10.1007/s10236-005-0112-4</v>
      </c>
      <c r="BG579" t="s">
        <v>74</v>
      </c>
      <c r="BH579" t="s">
        <v>74</v>
      </c>
      <c r="BI579">
        <v>12</v>
      </c>
      <c r="BJ579" t="s">
        <v>629</v>
      </c>
      <c r="BK579" t="s">
        <v>98</v>
      </c>
      <c r="BL579" t="s">
        <v>629</v>
      </c>
      <c r="BM579" t="s">
        <v>9099</v>
      </c>
      <c r="BN579" t="s">
        <v>74</v>
      </c>
      <c r="BO579" t="s">
        <v>534</v>
      </c>
      <c r="BP579" t="s">
        <v>74</v>
      </c>
      <c r="BQ579" t="s">
        <v>74</v>
      </c>
      <c r="BR579" t="s">
        <v>101</v>
      </c>
      <c r="BS579" t="s">
        <v>9100</v>
      </c>
      <c r="BT579" t="str">
        <f>HYPERLINK("https%3A%2F%2Fwww.webofscience.com%2Fwos%2Fwoscc%2Ffull-record%2FWOS:000232859800003","View Full Record in Web of Science")</f>
        <v>View Full Record in Web of Science</v>
      </c>
    </row>
    <row r="580" spans="1:72" x14ac:dyDescent="0.15">
      <c r="A580" t="s">
        <v>72</v>
      </c>
      <c r="B580" t="s">
        <v>9101</v>
      </c>
      <c r="C580" t="s">
        <v>74</v>
      </c>
      <c r="D580" t="s">
        <v>74</v>
      </c>
      <c r="E580" t="s">
        <v>74</v>
      </c>
      <c r="F580" t="s">
        <v>9101</v>
      </c>
      <c r="G580" t="s">
        <v>74</v>
      </c>
      <c r="H580" t="s">
        <v>74</v>
      </c>
      <c r="I580" t="s">
        <v>9102</v>
      </c>
      <c r="J580" t="s">
        <v>9103</v>
      </c>
      <c r="K580" t="s">
        <v>74</v>
      </c>
      <c r="L580" t="s">
        <v>74</v>
      </c>
      <c r="M580" t="s">
        <v>77</v>
      </c>
      <c r="N580" t="s">
        <v>78</v>
      </c>
      <c r="O580" t="s">
        <v>74</v>
      </c>
      <c r="P580" t="s">
        <v>74</v>
      </c>
      <c r="Q580" t="s">
        <v>74</v>
      </c>
      <c r="R580" t="s">
        <v>74</v>
      </c>
      <c r="S580" t="s">
        <v>74</v>
      </c>
      <c r="T580" t="s">
        <v>74</v>
      </c>
      <c r="U580" t="s">
        <v>9104</v>
      </c>
      <c r="V580" t="s">
        <v>9105</v>
      </c>
      <c r="W580" t="s">
        <v>9106</v>
      </c>
      <c r="X580" t="s">
        <v>9107</v>
      </c>
      <c r="Y580" t="s">
        <v>9108</v>
      </c>
      <c r="Z580" t="s">
        <v>74</v>
      </c>
      <c r="AA580" t="s">
        <v>74</v>
      </c>
      <c r="AB580" t="s">
        <v>9109</v>
      </c>
      <c r="AC580" t="s">
        <v>74</v>
      </c>
      <c r="AD580" t="s">
        <v>74</v>
      </c>
      <c r="AE580" t="s">
        <v>74</v>
      </c>
      <c r="AF580" t="s">
        <v>74</v>
      </c>
      <c r="AG580">
        <v>23</v>
      </c>
      <c r="AH580">
        <v>12</v>
      </c>
      <c r="AI580">
        <v>12</v>
      </c>
      <c r="AJ580">
        <v>0</v>
      </c>
      <c r="AK580">
        <v>0</v>
      </c>
      <c r="AL580" t="s">
        <v>9110</v>
      </c>
      <c r="AM580" t="s">
        <v>9111</v>
      </c>
      <c r="AN580" t="s">
        <v>9112</v>
      </c>
      <c r="AO580" t="s">
        <v>9113</v>
      </c>
      <c r="AP580" t="s">
        <v>9114</v>
      </c>
      <c r="AQ580" t="s">
        <v>74</v>
      </c>
      <c r="AR580" t="s">
        <v>9115</v>
      </c>
      <c r="AS580" t="s">
        <v>9116</v>
      </c>
      <c r="AT580" t="s">
        <v>7971</v>
      </c>
      <c r="AU580">
        <v>2005</v>
      </c>
      <c r="AV580">
        <v>72</v>
      </c>
      <c r="AW580">
        <v>9</v>
      </c>
      <c r="AX580" t="s">
        <v>74</v>
      </c>
      <c r="AY580" t="s">
        <v>74</v>
      </c>
      <c r="AZ580" t="s">
        <v>74</v>
      </c>
      <c r="BA580" t="s">
        <v>74</v>
      </c>
      <c r="BB580" t="s">
        <v>74</v>
      </c>
      <c r="BC580" t="s">
        <v>74</v>
      </c>
      <c r="BD580">
        <v>93003</v>
      </c>
      <c r="BE580" t="s">
        <v>9117</v>
      </c>
      <c r="BF580" t="str">
        <f>HYPERLINK("http://dx.doi.org/10.1103/PhysRevD.72.093003","http://dx.doi.org/10.1103/PhysRevD.72.093003")</f>
        <v>http://dx.doi.org/10.1103/PhysRevD.72.093003</v>
      </c>
      <c r="BG580" t="s">
        <v>74</v>
      </c>
      <c r="BH580" t="s">
        <v>74</v>
      </c>
      <c r="BI580">
        <v>5</v>
      </c>
      <c r="BJ580" t="s">
        <v>9118</v>
      </c>
      <c r="BK580" t="s">
        <v>98</v>
      </c>
      <c r="BL580" t="s">
        <v>1466</v>
      </c>
      <c r="BM580" t="s">
        <v>9119</v>
      </c>
      <c r="BN580" t="s">
        <v>74</v>
      </c>
      <c r="BO580" t="s">
        <v>534</v>
      </c>
      <c r="BP580" t="s">
        <v>74</v>
      </c>
      <c r="BQ580" t="s">
        <v>74</v>
      </c>
      <c r="BR580" t="s">
        <v>101</v>
      </c>
      <c r="BS580" t="s">
        <v>9120</v>
      </c>
      <c r="BT580" t="str">
        <f>HYPERLINK("https%3A%2F%2Fwww.webofscience.com%2Fwos%2Fwoscc%2Ffull-record%2FWOS:000233608300013","View Full Record in Web of Science")</f>
        <v>View Full Record in Web of Science</v>
      </c>
    </row>
    <row r="581" spans="1:72" x14ac:dyDescent="0.15">
      <c r="A581" t="s">
        <v>72</v>
      </c>
      <c r="B581" t="s">
        <v>9121</v>
      </c>
      <c r="C581" t="s">
        <v>74</v>
      </c>
      <c r="D581" t="s">
        <v>74</v>
      </c>
      <c r="E581" t="s">
        <v>74</v>
      </c>
      <c r="F581" t="s">
        <v>9121</v>
      </c>
      <c r="G581" t="s">
        <v>74</v>
      </c>
      <c r="H581" t="s">
        <v>74</v>
      </c>
      <c r="I581" t="s">
        <v>9122</v>
      </c>
      <c r="J581" t="s">
        <v>3975</v>
      </c>
      <c r="K581" t="s">
        <v>74</v>
      </c>
      <c r="L581" t="s">
        <v>74</v>
      </c>
      <c r="M581" t="s">
        <v>77</v>
      </c>
      <c r="N581" t="s">
        <v>289</v>
      </c>
      <c r="O581" t="s">
        <v>74</v>
      </c>
      <c r="P581" t="s">
        <v>74</v>
      </c>
      <c r="Q581" t="s">
        <v>74</v>
      </c>
      <c r="R581" t="s">
        <v>74</v>
      </c>
      <c r="S581" t="s">
        <v>74</v>
      </c>
      <c r="T581" t="s">
        <v>74</v>
      </c>
      <c r="U581" t="s">
        <v>9123</v>
      </c>
      <c r="V581" t="s">
        <v>9124</v>
      </c>
      <c r="W581" t="s">
        <v>9125</v>
      </c>
      <c r="X581" t="s">
        <v>74</v>
      </c>
      <c r="Y581" t="s">
        <v>9126</v>
      </c>
      <c r="Z581" t="s">
        <v>9127</v>
      </c>
      <c r="AA581" t="s">
        <v>74</v>
      </c>
      <c r="AB581" t="s">
        <v>74</v>
      </c>
      <c r="AC581" t="s">
        <v>74</v>
      </c>
      <c r="AD581" t="s">
        <v>74</v>
      </c>
      <c r="AE581" t="s">
        <v>74</v>
      </c>
      <c r="AF581" t="s">
        <v>74</v>
      </c>
      <c r="AG581">
        <v>170</v>
      </c>
      <c r="AH581">
        <v>10</v>
      </c>
      <c r="AI581">
        <v>12</v>
      </c>
      <c r="AJ581">
        <v>1</v>
      </c>
      <c r="AK581">
        <v>55</v>
      </c>
      <c r="AL581" t="s">
        <v>88</v>
      </c>
      <c r="AM581" t="s">
        <v>89</v>
      </c>
      <c r="AN581" t="s">
        <v>90</v>
      </c>
      <c r="AO581" t="s">
        <v>3985</v>
      </c>
      <c r="AP581" t="s">
        <v>3986</v>
      </c>
      <c r="AQ581" t="s">
        <v>74</v>
      </c>
      <c r="AR581" t="s">
        <v>3987</v>
      </c>
      <c r="AS581" t="s">
        <v>3988</v>
      </c>
      <c r="AT581" t="s">
        <v>7971</v>
      </c>
      <c r="AU581">
        <v>2005</v>
      </c>
      <c r="AV581">
        <v>28</v>
      </c>
      <c r="AW581">
        <v>12</v>
      </c>
      <c r="AX581" t="s">
        <v>74</v>
      </c>
      <c r="AY581" t="s">
        <v>74</v>
      </c>
      <c r="AZ581" t="s">
        <v>74</v>
      </c>
      <c r="BA581" t="s">
        <v>74</v>
      </c>
      <c r="BB581">
        <v>897</v>
      </c>
      <c r="BC581">
        <v>909</v>
      </c>
      <c r="BD581" t="s">
        <v>74</v>
      </c>
      <c r="BE581" t="s">
        <v>9128</v>
      </c>
      <c r="BF581" t="str">
        <f>HYPERLINK("http://dx.doi.org/10.1007/s00300-005-0020-6","http://dx.doi.org/10.1007/s00300-005-0020-6")</f>
        <v>http://dx.doi.org/10.1007/s00300-005-0020-6</v>
      </c>
      <c r="BG581" t="s">
        <v>74</v>
      </c>
      <c r="BH581" t="s">
        <v>74</v>
      </c>
      <c r="BI581">
        <v>13</v>
      </c>
      <c r="BJ581" t="s">
        <v>3990</v>
      </c>
      <c r="BK581" t="s">
        <v>98</v>
      </c>
      <c r="BL581" t="s">
        <v>147</v>
      </c>
      <c r="BM581" t="s">
        <v>9129</v>
      </c>
      <c r="BN581" t="s">
        <v>74</v>
      </c>
      <c r="BO581" t="s">
        <v>74</v>
      </c>
      <c r="BP581" t="s">
        <v>74</v>
      </c>
      <c r="BQ581" t="s">
        <v>74</v>
      </c>
      <c r="BR581" t="s">
        <v>101</v>
      </c>
      <c r="BS581" t="s">
        <v>9130</v>
      </c>
      <c r="BT581" t="str">
        <f>HYPERLINK("https%3A%2F%2Fwww.webofscience.com%2Fwos%2Fwoscc%2Ffull-record%2FWOS:000233876100001","View Full Record in Web of Science")</f>
        <v>View Full Record in Web of Science</v>
      </c>
    </row>
    <row r="582" spans="1:72" x14ac:dyDescent="0.15">
      <c r="A582" t="s">
        <v>72</v>
      </c>
      <c r="B582" t="s">
        <v>9131</v>
      </c>
      <c r="C582" t="s">
        <v>74</v>
      </c>
      <c r="D582" t="s">
        <v>74</v>
      </c>
      <c r="E582" t="s">
        <v>74</v>
      </c>
      <c r="F582" t="s">
        <v>9131</v>
      </c>
      <c r="G582" t="s">
        <v>74</v>
      </c>
      <c r="H582" t="s">
        <v>74</v>
      </c>
      <c r="I582" t="s">
        <v>9132</v>
      </c>
      <c r="J582" t="s">
        <v>3975</v>
      </c>
      <c r="K582" t="s">
        <v>74</v>
      </c>
      <c r="L582" t="s">
        <v>74</v>
      </c>
      <c r="M582" t="s">
        <v>77</v>
      </c>
      <c r="N582" t="s">
        <v>78</v>
      </c>
      <c r="O582" t="s">
        <v>74</v>
      </c>
      <c r="P582" t="s">
        <v>74</v>
      </c>
      <c r="Q582" t="s">
        <v>74</v>
      </c>
      <c r="R582" t="s">
        <v>74</v>
      </c>
      <c r="S582" t="s">
        <v>74</v>
      </c>
      <c r="T582" t="s">
        <v>74</v>
      </c>
      <c r="U582" t="s">
        <v>9133</v>
      </c>
      <c r="V582" t="s">
        <v>9134</v>
      </c>
      <c r="W582" t="s">
        <v>9135</v>
      </c>
      <c r="X582" t="s">
        <v>9136</v>
      </c>
      <c r="Y582" t="s">
        <v>9137</v>
      </c>
      <c r="Z582" t="s">
        <v>9138</v>
      </c>
      <c r="AA582" t="s">
        <v>74</v>
      </c>
      <c r="AB582" t="s">
        <v>74</v>
      </c>
      <c r="AC582" t="s">
        <v>74</v>
      </c>
      <c r="AD582" t="s">
        <v>74</v>
      </c>
      <c r="AE582" t="s">
        <v>74</v>
      </c>
      <c r="AF582" t="s">
        <v>74</v>
      </c>
      <c r="AG582">
        <v>75</v>
      </c>
      <c r="AH582">
        <v>15</v>
      </c>
      <c r="AI582">
        <v>21</v>
      </c>
      <c r="AJ582">
        <v>0</v>
      </c>
      <c r="AK582">
        <v>6</v>
      </c>
      <c r="AL582" t="s">
        <v>88</v>
      </c>
      <c r="AM582" t="s">
        <v>89</v>
      </c>
      <c r="AN582" t="s">
        <v>90</v>
      </c>
      <c r="AO582" t="s">
        <v>3985</v>
      </c>
      <c r="AP582" t="s">
        <v>3986</v>
      </c>
      <c r="AQ582" t="s">
        <v>74</v>
      </c>
      <c r="AR582" t="s">
        <v>3987</v>
      </c>
      <c r="AS582" t="s">
        <v>3988</v>
      </c>
      <c r="AT582" t="s">
        <v>7971</v>
      </c>
      <c r="AU582">
        <v>2005</v>
      </c>
      <c r="AV582">
        <v>28</v>
      </c>
      <c r="AW582">
        <v>12</v>
      </c>
      <c r="AX582" t="s">
        <v>74</v>
      </c>
      <c r="AY582" t="s">
        <v>74</v>
      </c>
      <c r="AZ582" t="s">
        <v>74</v>
      </c>
      <c r="BA582" t="s">
        <v>74</v>
      </c>
      <c r="BB582">
        <v>922</v>
      </c>
      <c r="BC582">
        <v>939</v>
      </c>
      <c r="BD582" t="s">
        <v>74</v>
      </c>
      <c r="BE582" t="s">
        <v>9139</v>
      </c>
      <c r="BF582" t="str">
        <f>HYPERLINK("http://dx.doi.org/10.1007/s00300-005-0016-2","http://dx.doi.org/10.1007/s00300-005-0016-2")</f>
        <v>http://dx.doi.org/10.1007/s00300-005-0016-2</v>
      </c>
      <c r="BG582" t="s">
        <v>74</v>
      </c>
      <c r="BH582" t="s">
        <v>74</v>
      </c>
      <c r="BI582">
        <v>18</v>
      </c>
      <c r="BJ582" t="s">
        <v>3990</v>
      </c>
      <c r="BK582" t="s">
        <v>98</v>
      </c>
      <c r="BL582" t="s">
        <v>147</v>
      </c>
      <c r="BM582" t="s">
        <v>9129</v>
      </c>
      <c r="BN582" t="s">
        <v>74</v>
      </c>
      <c r="BO582" t="s">
        <v>722</v>
      </c>
      <c r="BP582" t="s">
        <v>74</v>
      </c>
      <c r="BQ582" t="s">
        <v>74</v>
      </c>
      <c r="BR582" t="s">
        <v>101</v>
      </c>
      <c r="BS582" t="s">
        <v>9140</v>
      </c>
      <c r="BT582" t="str">
        <f>HYPERLINK("https%3A%2F%2Fwww.webofscience.com%2Fwos%2Fwoscc%2Ffull-record%2FWOS:000233876100003","View Full Record in Web of Science")</f>
        <v>View Full Record in Web of Science</v>
      </c>
    </row>
    <row r="583" spans="1:72" x14ac:dyDescent="0.15">
      <c r="A583" t="s">
        <v>72</v>
      </c>
      <c r="B583" t="s">
        <v>9141</v>
      </c>
      <c r="C583" t="s">
        <v>74</v>
      </c>
      <c r="D583" t="s">
        <v>74</v>
      </c>
      <c r="E583" t="s">
        <v>74</v>
      </c>
      <c r="F583" t="s">
        <v>9141</v>
      </c>
      <c r="G583" t="s">
        <v>74</v>
      </c>
      <c r="H583" t="s">
        <v>74</v>
      </c>
      <c r="I583" t="s">
        <v>9142</v>
      </c>
      <c r="J583" t="s">
        <v>3975</v>
      </c>
      <c r="K583" t="s">
        <v>74</v>
      </c>
      <c r="L583" t="s">
        <v>74</v>
      </c>
      <c r="M583" t="s">
        <v>77</v>
      </c>
      <c r="N583" t="s">
        <v>78</v>
      </c>
      <c r="O583" t="s">
        <v>74</v>
      </c>
      <c r="P583" t="s">
        <v>74</v>
      </c>
      <c r="Q583" t="s">
        <v>74</v>
      </c>
      <c r="R583" t="s">
        <v>74</v>
      </c>
      <c r="S583" t="s">
        <v>74</v>
      </c>
      <c r="T583" t="s">
        <v>74</v>
      </c>
      <c r="U583" t="s">
        <v>9143</v>
      </c>
      <c r="V583" t="s">
        <v>9144</v>
      </c>
      <c r="W583" t="s">
        <v>7962</v>
      </c>
      <c r="X583" t="s">
        <v>7963</v>
      </c>
      <c r="Y583" t="s">
        <v>9145</v>
      </c>
      <c r="Z583" t="s">
        <v>9146</v>
      </c>
      <c r="AA583" t="s">
        <v>74</v>
      </c>
      <c r="AB583" t="s">
        <v>9147</v>
      </c>
      <c r="AC583" t="s">
        <v>74</v>
      </c>
      <c r="AD583" t="s">
        <v>74</v>
      </c>
      <c r="AE583" t="s">
        <v>74</v>
      </c>
      <c r="AF583" t="s">
        <v>74</v>
      </c>
      <c r="AG583">
        <v>14</v>
      </c>
      <c r="AH583">
        <v>32</v>
      </c>
      <c r="AI583">
        <v>35</v>
      </c>
      <c r="AJ583">
        <v>0</v>
      </c>
      <c r="AK583">
        <v>7</v>
      </c>
      <c r="AL583" t="s">
        <v>88</v>
      </c>
      <c r="AM583" t="s">
        <v>89</v>
      </c>
      <c r="AN583" t="s">
        <v>4001</v>
      </c>
      <c r="AO583" t="s">
        <v>3985</v>
      </c>
      <c r="AP583" t="s">
        <v>74</v>
      </c>
      <c r="AQ583" t="s">
        <v>74</v>
      </c>
      <c r="AR583" t="s">
        <v>3987</v>
      </c>
      <c r="AS583" t="s">
        <v>3988</v>
      </c>
      <c r="AT583" t="s">
        <v>7971</v>
      </c>
      <c r="AU583">
        <v>2005</v>
      </c>
      <c r="AV583">
        <v>28</v>
      </c>
      <c r="AW583">
        <v>12</v>
      </c>
      <c r="AX583" t="s">
        <v>74</v>
      </c>
      <c r="AY583" t="s">
        <v>74</v>
      </c>
      <c r="AZ583" t="s">
        <v>74</v>
      </c>
      <c r="BA583" t="s">
        <v>74</v>
      </c>
      <c r="BB583">
        <v>951</v>
      </c>
      <c r="BC583">
        <v>955</v>
      </c>
      <c r="BD583" t="s">
        <v>74</v>
      </c>
      <c r="BE583" t="s">
        <v>9148</v>
      </c>
      <c r="BF583" t="str">
        <f>HYPERLINK("http://dx.doi.org/10.1007/s00300-005-0024-2","http://dx.doi.org/10.1007/s00300-005-0024-2")</f>
        <v>http://dx.doi.org/10.1007/s00300-005-0024-2</v>
      </c>
      <c r="BG583" t="s">
        <v>74</v>
      </c>
      <c r="BH583" t="s">
        <v>74</v>
      </c>
      <c r="BI583">
        <v>5</v>
      </c>
      <c r="BJ583" t="s">
        <v>3990</v>
      </c>
      <c r="BK583" t="s">
        <v>98</v>
      </c>
      <c r="BL583" t="s">
        <v>147</v>
      </c>
      <c r="BM583" t="s">
        <v>9129</v>
      </c>
      <c r="BN583" t="s">
        <v>74</v>
      </c>
      <c r="BO583" t="s">
        <v>74</v>
      </c>
      <c r="BP583" t="s">
        <v>74</v>
      </c>
      <c r="BQ583" t="s">
        <v>74</v>
      </c>
      <c r="BR583" t="s">
        <v>101</v>
      </c>
      <c r="BS583" t="s">
        <v>9149</v>
      </c>
      <c r="BT583" t="str">
        <f>HYPERLINK("https%3A%2F%2Fwww.webofscience.com%2Fwos%2Fwoscc%2Ffull-record%2FWOS:000233876100005","View Full Record in Web of Science")</f>
        <v>View Full Record in Web of Science</v>
      </c>
    </row>
    <row r="584" spans="1:72" x14ac:dyDescent="0.15">
      <c r="A584" t="s">
        <v>72</v>
      </c>
      <c r="B584" t="s">
        <v>9150</v>
      </c>
      <c r="C584" t="s">
        <v>74</v>
      </c>
      <c r="D584" t="s">
        <v>74</v>
      </c>
      <c r="E584" t="s">
        <v>74</v>
      </c>
      <c r="F584" t="s">
        <v>9150</v>
      </c>
      <c r="G584" t="s">
        <v>74</v>
      </c>
      <c r="H584" t="s">
        <v>74</v>
      </c>
      <c r="I584" t="s">
        <v>9151</v>
      </c>
      <c r="J584" t="s">
        <v>3975</v>
      </c>
      <c r="K584" t="s">
        <v>74</v>
      </c>
      <c r="L584" t="s">
        <v>74</v>
      </c>
      <c r="M584" t="s">
        <v>77</v>
      </c>
      <c r="N584" t="s">
        <v>78</v>
      </c>
      <c r="O584" t="s">
        <v>74</v>
      </c>
      <c r="P584" t="s">
        <v>74</v>
      </c>
      <c r="Q584" t="s">
        <v>74</v>
      </c>
      <c r="R584" t="s">
        <v>74</v>
      </c>
      <c r="S584" t="s">
        <v>74</v>
      </c>
      <c r="T584" t="s">
        <v>74</v>
      </c>
      <c r="U584" t="s">
        <v>9152</v>
      </c>
      <c r="V584" t="s">
        <v>9153</v>
      </c>
      <c r="W584" t="s">
        <v>9154</v>
      </c>
      <c r="X584" t="s">
        <v>839</v>
      </c>
      <c r="Y584" t="s">
        <v>840</v>
      </c>
      <c r="Z584" t="s">
        <v>9155</v>
      </c>
      <c r="AA584" t="s">
        <v>842</v>
      </c>
      <c r="AB584" t="s">
        <v>74</v>
      </c>
      <c r="AC584" t="s">
        <v>74</v>
      </c>
      <c r="AD584" t="s">
        <v>74</v>
      </c>
      <c r="AE584" t="s">
        <v>74</v>
      </c>
      <c r="AF584" t="s">
        <v>74</v>
      </c>
      <c r="AG584">
        <v>8</v>
      </c>
      <c r="AH584">
        <v>5</v>
      </c>
      <c r="AI584">
        <v>5</v>
      </c>
      <c r="AJ584">
        <v>0</v>
      </c>
      <c r="AK584">
        <v>1</v>
      </c>
      <c r="AL584" t="s">
        <v>88</v>
      </c>
      <c r="AM584" t="s">
        <v>89</v>
      </c>
      <c r="AN584" t="s">
        <v>3984</v>
      </c>
      <c r="AO584" t="s">
        <v>3985</v>
      </c>
      <c r="AP584" t="s">
        <v>3986</v>
      </c>
      <c r="AQ584" t="s">
        <v>74</v>
      </c>
      <c r="AR584" t="s">
        <v>3987</v>
      </c>
      <c r="AS584" t="s">
        <v>3988</v>
      </c>
      <c r="AT584" t="s">
        <v>7971</v>
      </c>
      <c r="AU584">
        <v>2005</v>
      </c>
      <c r="AV584">
        <v>28</v>
      </c>
      <c r="AW584">
        <v>12</v>
      </c>
      <c r="AX584" t="s">
        <v>74</v>
      </c>
      <c r="AY584" t="s">
        <v>74</v>
      </c>
      <c r="AZ584" t="s">
        <v>74</v>
      </c>
      <c r="BA584" t="s">
        <v>74</v>
      </c>
      <c r="BB584">
        <v>956</v>
      </c>
      <c r="BC584">
        <v>963</v>
      </c>
      <c r="BD584" t="s">
        <v>74</v>
      </c>
      <c r="BE584" t="s">
        <v>9156</v>
      </c>
      <c r="BF584" t="str">
        <f>HYPERLINK("http://dx.doi.org/10.1007/s00300-005-0025-1","http://dx.doi.org/10.1007/s00300-005-0025-1")</f>
        <v>http://dx.doi.org/10.1007/s00300-005-0025-1</v>
      </c>
      <c r="BG584" t="s">
        <v>74</v>
      </c>
      <c r="BH584" t="s">
        <v>74</v>
      </c>
      <c r="BI584">
        <v>8</v>
      </c>
      <c r="BJ584" t="s">
        <v>3990</v>
      </c>
      <c r="BK584" t="s">
        <v>98</v>
      </c>
      <c r="BL584" t="s">
        <v>147</v>
      </c>
      <c r="BM584" t="s">
        <v>9129</v>
      </c>
      <c r="BN584" t="s">
        <v>74</v>
      </c>
      <c r="BO584" t="s">
        <v>74</v>
      </c>
      <c r="BP584" t="s">
        <v>74</v>
      </c>
      <c r="BQ584" t="s">
        <v>74</v>
      </c>
      <c r="BR584" t="s">
        <v>101</v>
      </c>
      <c r="BS584" t="s">
        <v>9157</v>
      </c>
      <c r="BT584" t="str">
        <f>HYPERLINK("https%3A%2F%2Fwww.webofscience.com%2Fwos%2Fwoscc%2Ffull-record%2FWOS:000233876100006","View Full Record in Web of Science")</f>
        <v>View Full Record in Web of Science</v>
      </c>
    </row>
    <row r="585" spans="1:72" x14ac:dyDescent="0.15">
      <c r="A585" t="s">
        <v>72</v>
      </c>
      <c r="B585" t="s">
        <v>9158</v>
      </c>
      <c r="C585" t="s">
        <v>74</v>
      </c>
      <c r="D585" t="s">
        <v>74</v>
      </c>
      <c r="E585" t="s">
        <v>74</v>
      </c>
      <c r="F585" t="s">
        <v>9158</v>
      </c>
      <c r="G585" t="s">
        <v>74</v>
      </c>
      <c r="H585" t="s">
        <v>74</v>
      </c>
      <c r="I585" t="s">
        <v>9159</v>
      </c>
      <c r="J585" t="s">
        <v>3975</v>
      </c>
      <c r="K585" t="s">
        <v>74</v>
      </c>
      <c r="L585" t="s">
        <v>74</v>
      </c>
      <c r="M585" t="s">
        <v>77</v>
      </c>
      <c r="N585" t="s">
        <v>78</v>
      </c>
      <c r="O585" t="s">
        <v>74</v>
      </c>
      <c r="P585" t="s">
        <v>74</v>
      </c>
      <c r="Q585" t="s">
        <v>74</v>
      </c>
      <c r="R585" t="s">
        <v>74</v>
      </c>
      <c r="S585" t="s">
        <v>74</v>
      </c>
      <c r="T585" t="s">
        <v>74</v>
      </c>
      <c r="U585" t="s">
        <v>9160</v>
      </c>
      <c r="V585" t="s">
        <v>9161</v>
      </c>
      <c r="W585" t="s">
        <v>9162</v>
      </c>
      <c r="X585" t="s">
        <v>9163</v>
      </c>
      <c r="Y585" t="s">
        <v>9164</v>
      </c>
      <c r="Z585" t="s">
        <v>9165</v>
      </c>
      <c r="AA585" t="s">
        <v>9166</v>
      </c>
      <c r="AB585" t="s">
        <v>9167</v>
      </c>
      <c r="AC585" t="s">
        <v>74</v>
      </c>
      <c r="AD585" t="s">
        <v>74</v>
      </c>
      <c r="AE585" t="s">
        <v>74</v>
      </c>
      <c r="AF585" t="s">
        <v>74</v>
      </c>
      <c r="AG585">
        <v>43</v>
      </c>
      <c r="AH585">
        <v>14</v>
      </c>
      <c r="AI585">
        <v>19</v>
      </c>
      <c r="AJ585">
        <v>0</v>
      </c>
      <c r="AK585">
        <v>10</v>
      </c>
      <c r="AL585" t="s">
        <v>88</v>
      </c>
      <c r="AM585" t="s">
        <v>89</v>
      </c>
      <c r="AN585" t="s">
        <v>90</v>
      </c>
      <c r="AO585" t="s">
        <v>3985</v>
      </c>
      <c r="AP585" t="s">
        <v>3986</v>
      </c>
      <c r="AQ585" t="s">
        <v>74</v>
      </c>
      <c r="AR585" t="s">
        <v>3987</v>
      </c>
      <c r="AS585" t="s">
        <v>3988</v>
      </c>
      <c r="AT585" t="s">
        <v>7971</v>
      </c>
      <c r="AU585">
        <v>2005</v>
      </c>
      <c r="AV585">
        <v>28</v>
      </c>
      <c r="AW585">
        <v>12</v>
      </c>
      <c r="AX585" t="s">
        <v>74</v>
      </c>
      <c r="AY585" t="s">
        <v>74</v>
      </c>
      <c r="AZ585" t="s">
        <v>74</v>
      </c>
      <c r="BA585" t="s">
        <v>74</v>
      </c>
      <c r="BB585">
        <v>964</v>
      </c>
      <c r="BC585">
        <v>970</v>
      </c>
      <c r="BD585" t="s">
        <v>74</v>
      </c>
      <c r="BE585" t="s">
        <v>9168</v>
      </c>
      <c r="BF585" t="str">
        <f>HYPERLINK("http://dx.doi.org/10.1007/s00300-005-0026-0","http://dx.doi.org/10.1007/s00300-005-0026-0")</f>
        <v>http://dx.doi.org/10.1007/s00300-005-0026-0</v>
      </c>
      <c r="BG585" t="s">
        <v>74</v>
      </c>
      <c r="BH585" t="s">
        <v>74</v>
      </c>
      <c r="BI585">
        <v>7</v>
      </c>
      <c r="BJ585" t="s">
        <v>3990</v>
      </c>
      <c r="BK585" t="s">
        <v>98</v>
      </c>
      <c r="BL585" t="s">
        <v>147</v>
      </c>
      <c r="BM585" t="s">
        <v>9129</v>
      </c>
      <c r="BN585" t="s">
        <v>74</v>
      </c>
      <c r="BO585" t="s">
        <v>74</v>
      </c>
      <c r="BP585" t="s">
        <v>74</v>
      </c>
      <c r="BQ585" t="s">
        <v>74</v>
      </c>
      <c r="BR585" t="s">
        <v>101</v>
      </c>
      <c r="BS585" t="s">
        <v>9169</v>
      </c>
      <c r="BT585" t="str">
        <f>HYPERLINK("https%3A%2F%2Fwww.webofscience.com%2Fwos%2Fwoscc%2Ffull-record%2FWOS:000233876100007","View Full Record in Web of Science")</f>
        <v>View Full Record in Web of Science</v>
      </c>
    </row>
    <row r="586" spans="1:72" x14ac:dyDescent="0.15">
      <c r="A586" t="s">
        <v>72</v>
      </c>
      <c r="B586" t="s">
        <v>9170</v>
      </c>
      <c r="C586" t="s">
        <v>74</v>
      </c>
      <c r="D586" t="s">
        <v>74</v>
      </c>
      <c r="E586" t="s">
        <v>74</v>
      </c>
      <c r="F586" t="s">
        <v>9170</v>
      </c>
      <c r="G586" t="s">
        <v>74</v>
      </c>
      <c r="H586" t="s">
        <v>74</v>
      </c>
      <c r="I586" t="s">
        <v>9171</v>
      </c>
      <c r="J586" t="s">
        <v>4400</v>
      </c>
      <c r="K586" t="s">
        <v>74</v>
      </c>
      <c r="L586" t="s">
        <v>74</v>
      </c>
      <c r="M586" t="s">
        <v>77</v>
      </c>
      <c r="N586" t="s">
        <v>78</v>
      </c>
      <c r="O586" t="s">
        <v>74</v>
      </c>
      <c r="P586" t="s">
        <v>74</v>
      </c>
      <c r="Q586" t="s">
        <v>74</v>
      </c>
      <c r="R586" t="s">
        <v>74</v>
      </c>
      <c r="S586" t="s">
        <v>74</v>
      </c>
      <c r="T586" t="s">
        <v>9172</v>
      </c>
      <c r="U586" t="s">
        <v>9173</v>
      </c>
      <c r="V586" t="s">
        <v>9174</v>
      </c>
      <c r="W586" t="s">
        <v>9175</v>
      </c>
      <c r="X586" t="s">
        <v>9176</v>
      </c>
      <c r="Y586" t="s">
        <v>9177</v>
      </c>
      <c r="Z586" t="s">
        <v>9178</v>
      </c>
      <c r="AA586" t="s">
        <v>9179</v>
      </c>
      <c r="AB586" t="s">
        <v>9180</v>
      </c>
      <c r="AC586" t="s">
        <v>74</v>
      </c>
      <c r="AD586" t="s">
        <v>74</v>
      </c>
      <c r="AE586" t="s">
        <v>74</v>
      </c>
      <c r="AF586" t="s">
        <v>74</v>
      </c>
      <c r="AG586">
        <v>66</v>
      </c>
      <c r="AH586">
        <v>111</v>
      </c>
      <c r="AI586">
        <v>120</v>
      </c>
      <c r="AJ586">
        <v>0</v>
      </c>
      <c r="AK586">
        <v>25</v>
      </c>
      <c r="AL586" t="s">
        <v>2239</v>
      </c>
      <c r="AM586" t="s">
        <v>89</v>
      </c>
      <c r="AN586" t="s">
        <v>4047</v>
      </c>
      <c r="AO586" t="s">
        <v>4412</v>
      </c>
      <c r="AP586" t="s">
        <v>9181</v>
      </c>
      <c r="AQ586" t="s">
        <v>74</v>
      </c>
      <c r="AR586" t="s">
        <v>4413</v>
      </c>
      <c r="AS586" t="s">
        <v>4414</v>
      </c>
      <c r="AT586" t="s">
        <v>7971</v>
      </c>
      <c r="AU586">
        <v>2005</v>
      </c>
      <c r="AV586">
        <v>64</v>
      </c>
      <c r="AW586">
        <v>3</v>
      </c>
      <c r="AX586" t="s">
        <v>74</v>
      </c>
      <c r="AY586" t="s">
        <v>74</v>
      </c>
      <c r="AZ586" t="s">
        <v>74</v>
      </c>
      <c r="BA586" t="s">
        <v>74</v>
      </c>
      <c r="BB586">
        <v>444</v>
      </c>
      <c r="BC586">
        <v>450</v>
      </c>
      <c r="BD586" t="s">
        <v>74</v>
      </c>
      <c r="BE586" t="s">
        <v>9182</v>
      </c>
      <c r="BF586" t="str">
        <f>HYPERLINK("http://dx.doi.org/10.1016/j.yqres.2005.08.006","http://dx.doi.org/10.1016/j.yqres.2005.08.006")</f>
        <v>http://dx.doi.org/10.1016/j.yqres.2005.08.006</v>
      </c>
      <c r="BG586" t="s">
        <v>74</v>
      </c>
      <c r="BH586" t="s">
        <v>74</v>
      </c>
      <c r="BI586">
        <v>7</v>
      </c>
      <c r="BJ586" t="s">
        <v>2246</v>
      </c>
      <c r="BK586" t="s">
        <v>98</v>
      </c>
      <c r="BL586" t="s">
        <v>1531</v>
      </c>
      <c r="BM586" t="s">
        <v>9183</v>
      </c>
      <c r="BN586" t="s">
        <v>74</v>
      </c>
      <c r="BO586" t="s">
        <v>74</v>
      </c>
      <c r="BP586" t="s">
        <v>74</v>
      </c>
      <c r="BQ586" t="s">
        <v>74</v>
      </c>
      <c r="BR586" t="s">
        <v>101</v>
      </c>
      <c r="BS586" t="s">
        <v>9184</v>
      </c>
      <c r="BT586" t="str">
        <f>HYPERLINK("https%3A%2F%2Fwww.webofscience.com%2Fwos%2Fwoscc%2Ffull-record%2FWOS:000233380300015","View Full Record in Web of Science")</f>
        <v>View Full Record in Web of Science</v>
      </c>
    </row>
    <row r="587" spans="1:72" x14ac:dyDescent="0.15">
      <c r="A587" t="s">
        <v>72</v>
      </c>
      <c r="B587" t="s">
        <v>9185</v>
      </c>
      <c r="C587" t="s">
        <v>74</v>
      </c>
      <c r="D587" t="s">
        <v>74</v>
      </c>
      <c r="E587" t="s">
        <v>74</v>
      </c>
      <c r="F587" t="s">
        <v>9185</v>
      </c>
      <c r="G587" t="s">
        <v>74</v>
      </c>
      <c r="H587" t="s">
        <v>74</v>
      </c>
      <c r="I587" t="s">
        <v>9186</v>
      </c>
      <c r="J587" t="s">
        <v>9187</v>
      </c>
      <c r="K587" t="s">
        <v>74</v>
      </c>
      <c r="L587" t="s">
        <v>74</v>
      </c>
      <c r="M587" t="s">
        <v>77</v>
      </c>
      <c r="N587" t="s">
        <v>335</v>
      </c>
      <c r="O587" t="s">
        <v>9188</v>
      </c>
      <c r="P587" t="s">
        <v>9189</v>
      </c>
      <c r="Q587" t="s">
        <v>9190</v>
      </c>
      <c r="R587" t="s">
        <v>74</v>
      </c>
      <c r="S587" t="s">
        <v>9191</v>
      </c>
      <c r="T587" t="s">
        <v>9192</v>
      </c>
      <c r="U587" t="s">
        <v>9193</v>
      </c>
      <c r="V587" t="s">
        <v>9194</v>
      </c>
      <c r="W587" t="s">
        <v>9195</v>
      </c>
      <c r="X587" t="s">
        <v>9196</v>
      </c>
      <c r="Y587" t="s">
        <v>9197</v>
      </c>
      <c r="Z587" t="s">
        <v>9198</v>
      </c>
      <c r="AA587" t="s">
        <v>9199</v>
      </c>
      <c r="AB587" t="s">
        <v>9200</v>
      </c>
      <c r="AC587" t="s">
        <v>74</v>
      </c>
      <c r="AD587" t="s">
        <v>74</v>
      </c>
      <c r="AE587" t="s">
        <v>74</v>
      </c>
      <c r="AF587" t="s">
        <v>74</v>
      </c>
      <c r="AG587">
        <v>23</v>
      </c>
      <c r="AH587">
        <v>14</v>
      </c>
      <c r="AI587">
        <v>15</v>
      </c>
      <c r="AJ587">
        <v>0</v>
      </c>
      <c r="AK587">
        <v>6</v>
      </c>
      <c r="AL587" t="s">
        <v>622</v>
      </c>
      <c r="AM587" t="s">
        <v>140</v>
      </c>
      <c r="AN587" t="s">
        <v>623</v>
      </c>
      <c r="AO587" t="s">
        <v>9201</v>
      </c>
      <c r="AP587" t="s">
        <v>74</v>
      </c>
      <c r="AQ587" t="s">
        <v>74</v>
      </c>
      <c r="AR587" t="s">
        <v>9202</v>
      </c>
      <c r="AS587" t="s">
        <v>9203</v>
      </c>
      <c r="AT587" t="s">
        <v>7971</v>
      </c>
      <c r="AU587">
        <v>2005</v>
      </c>
      <c r="AV587">
        <v>40</v>
      </c>
      <c r="AW587" t="s">
        <v>9204</v>
      </c>
      <c r="AX587" t="s">
        <v>74</v>
      </c>
      <c r="AY587" t="s">
        <v>74</v>
      </c>
      <c r="AZ587" t="s">
        <v>2210</v>
      </c>
      <c r="BA587" t="s">
        <v>74</v>
      </c>
      <c r="BB587">
        <v>415</v>
      </c>
      <c r="BC587">
        <v>422</v>
      </c>
      <c r="BD587" t="s">
        <v>74</v>
      </c>
      <c r="BE587" t="s">
        <v>9205</v>
      </c>
      <c r="BF587" t="str">
        <f>HYPERLINK("http://dx.doi.org/10.1016/j.radmeas.2005.03.022","http://dx.doi.org/10.1016/j.radmeas.2005.03.022")</f>
        <v>http://dx.doi.org/10.1016/j.radmeas.2005.03.022</v>
      </c>
      <c r="BG587" t="s">
        <v>74</v>
      </c>
      <c r="BH587" t="s">
        <v>74</v>
      </c>
      <c r="BI587">
        <v>8</v>
      </c>
      <c r="BJ587" t="s">
        <v>9206</v>
      </c>
      <c r="BK587" t="s">
        <v>1411</v>
      </c>
      <c r="BL587" t="s">
        <v>9206</v>
      </c>
      <c r="BM587" t="s">
        <v>9207</v>
      </c>
      <c r="BN587" t="s">
        <v>74</v>
      </c>
      <c r="BO587" t="s">
        <v>74</v>
      </c>
      <c r="BP587" t="s">
        <v>74</v>
      </c>
      <c r="BQ587" t="s">
        <v>74</v>
      </c>
      <c r="BR587" t="s">
        <v>101</v>
      </c>
      <c r="BS587" t="s">
        <v>9208</v>
      </c>
      <c r="BT587" t="str">
        <f>HYPERLINK("https%3A%2F%2Fwww.webofscience.com%2Fwos%2Fwoscc%2Ffull-record%2FWOS:000233487500053","View Full Record in Web of Science")</f>
        <v>View Full Record in Web of Science</v>
      </c>
    </row>
    <row r="588" spans="1:72" x14ac:dyDescent="0.15">
      <c r="A588" t="s">
        <v>72</v>
      </c>
      <c r="B588" t="s">
        <v>9209</v>
      </c>
      <c r="C588" t="s">
        <v>74</v>
      </c>
      <c r="D588" t="s">
        <v>74</v>
      </c>
      <c r="E588" t="s">
        <v>74</v>
      </c>
      <c r="F588" t="s">
        <v>9209</v>
      </c>
      <c r="G588" t="s">
        <v>74</v>
      </c>
      <c r="H588" t="s">
        <v>74</v>
      </c>
      <c r="I588" t="s">
        <v>9210</v>
      </c>
      <c r="J588" t="s">
        <v>9211</v>
      </c>
      <c r="K588" t="s">
        <v>74</v>
      </c>
      <c r="L588" t="s">
        <v>74</v>
      </c>
      <c r="M588" t="s">
        <v>77</v>
      </c>
      <c r="N588" t="s">
        <v>78</v>
      </c>
      <c r="O588" t="s">
        <v>74</v>
      </c>
      <c r="P588" t="s">
        <v>74</v>
      </c>
      <c r="Q588" t="s">
        <v>74</v>
      </c>
      <c r="R588" t="s">
        <v>74</v>
      </c>
      <c r="S588" t="s">
        <v>74</v>
      </c>
      <c r="T588" t="s">
        <v>9212</v>
      </c>
      <c r="U588" t="s">
        <v>9213</v>
      </c>
      <c r="V588" t="s">
        <v>9214</v>
      </c>
      <c r="W588" t="s">
        <v>9215</v>
      </c>
      <c r="X588" t="s">
        <v>9216</v>
      </c>
      <c r="Y588" t="s">
        <v>9217</v>
      </c>
      <c r="Z588" t="s">
        <v>9218</v>
      </c>
      <c r="AA588" t="s">
        <v>74</v>
      </c>
      <c r="AB588" t="s">
        <v>9219</v>
      </c>
      <c r="AC588" t="s">
        <v>74</v>
      </c>
      <c r="AD588" t="s">
        <v>74</v>
      </c>
      <c r="AE588" t="s">
        <v>74</v>
      </c>
      <c r="AF588" t="s">
        <v>74</v>
      </c>
      <c r="AG588">
        <v>26</v>
      </c>
      <c r="AH588">
        <v>40</v>
      </c>
      <c r="AI588">
        <v>47</v>
      </c>
      <c r="AJ588">
        <v>0</v>
      </c>
      <c r="AK588">
        <v>25</v>
      </c>
      <c r="AL588" t="s">
        <v>1147</v>
      </c>
      <c r="AM588" t="s">
        <v>1148</v>
      </c>
      <c r="AN588" t="s">
        <v>1149</v>
      </c>
      <c r="AO588" t="s">
        <v>9220</v>
      </c>
      <c r="AP588" t="s">
        <v>74</v>
      </c>
      <c r="AQ588" t="s">
        <v>74</v>
      </c>
      <c r="AR588" t="s">
        <v>9221</v>
      </c>
      <c r="AS588" t="s">
        <v>9222</v>
      </c>
      <c r="AT588" t="s">
        <v>7971</v>
      </c>
      <c r="AU588">
        <v>2005</v>
      </c>
      <c r="AV588">
        <v>156</v>
      </c>
      <c r="AW588">
        <v>9</v>
      </c>
      <c r="AX588" t="s">
        <v>74</v>
      </c>
      <c r="AY588" t="s">
        <v>74</v>
      </c>
      <c r="AZ588" t="s">
        <v>74</v>
      </c>
      <c r="BA588" t="s">
        <v>74</v>
      </c>
      <c r="BB588">
        <v>932</v>
      </c>
      <c r="BC588">
        <v>943</v>
      </c>
      <c r="BD588" t="s">
        <v>74</v>
      </c>
      <c r="BE588" t="s">
        <v>9223</v>
      </c>
      <c r="BF588" t="str">
        <f>HYPERLINK("http://dx.doi.org/10.1016/j.resmic.2005.04.010","http://dx.doi.org/10.1016/j.resmic.2005.04.010")</f>
        <v>http://dx.doi.org/10.1016/j.resmic.2005.04.010</v>
      </c>
      <c r="BG588" t="s">
        <v>74</v>
      </c>
      <c r="BH588" t="s">
        <v>74</v>
      </c>
      <c r="BI588">
        <v>12</v>
      </c>
      <c r="BJ588" t="s">
        <v>2054</v>
      </c>
      <c r="BK588" t="s">
        <v>98</v>
      </c>
      <c r="BL588" t="s">
        <v>2054</v>
      </c>
      <c r="BM588" t="s">
        <v>9224</v>
      </c>
      <c r="BN588">
        <v>16085397</v>
      </c>
      <c r="BO588" t="s">
        <v>1132</v>
      </c>
      <c r="BP588" t="s">
        <v>74</v>
      </c>
      <c r="BQ588" t="s">
        <v>74</v>
      </c>
      <c r="BR588" t="s">
        <v>101</v>
      </c>
      <c r="BS588" t="s">
        <v>9225</v>
      </c>
      <c r="BT588" t="str">
        <f>HYPERLINK("https%3A%2F%2Fwww.webofscience.com%2Fwos%2Fwoscc%2Ffull-record%2FWOS:000233146800005","View Full Record in Web of Science")</f>
        <v>View Full Record in Web of Science</v>
      </c>
    </row>
    <row r="589" spans="1:72" x14ac:dyDescent="0.15">
      <c r="A589" t="s">
        <v>72</v>
      </c>
      <c r="B589" t="s">
        <v>9226</v>
      </c>
      <c r="C589" t="s">
        <v>74</v>
      </c>
      <c r="D589" t="s">
        <v>74</v>
      </c>
      <c r="E589" t="s">
        <v>74</v>
      </c>
      <c r="F589" t="s">
        <v>9226</v>
      </c>
      <c r="G589" t="s">
        <v>74</v>
      </c>
      <c r="H589" t="s">
        <v>74</v>
      </c>
      <c r="I589" t="s">
        <v>9227</v>
      </c>
      <c r="J589" t="s">
        <v>6798</v>
      </c>
      <c r="K589" t="s">
        <v>74</v>
      </c>
      <c r="L589" t="s">
        <v>74</v>
      </c>
      <c r="M589" t="s">
        <v>77</v>
      </c>
      <c r="N589" t="s">
        <v>78</v>
      </c>
      <c r="O589" t="s">
        <v>74</v>
      </c>
      <c r="P589" t="s">
        <v>74</v>
      </c>
      <c r="Q589" t="s">
        <v>74</v>
      </c>
      <c r="R589" t="s">
        <v>74</v>
      </c>
      <c r="S589" t="s">
        <v>74</v>
      </c>
      <c r="T589" t="s">
        <v>9228</v>
      </c>
      <c r="U589" t="s">
        <v>9229</v>
      </c>
      <c r="V589" t="s">
        <v>9230</v>
      </c>
      <c r="W589" t="s">
        <v>9231</v>
      </c>
      <c r="X589" t="s">
        <v>9232</v>
      </c>
      <c r="Y589" t="s">
        <v>9233</v>
      </c>
      <c r="Z589" t="s">
        <v>9234</v>
      </c>
      <c r="AA589" t="s">
        <v>9235</v>
      </c>
      <c r="AB589" t="s">
        <v>9236</v>
      </c>
      <c r="AC589" t="s">
        <v>74</v>
      </c>
      <c r="AD589" t="s">
        <v>74</v>
      </c>
      <c r="AE589" t="s">
        <v>74</v>
      </c>
      <c r="AF589" t="s">
        <v>74</v>
      </c>
      <c r="AG589">
        <v>64</v>
      </c>
      <c r="AH589">
        <v>23</v>
      </c>
      <c r="AI589">
        <v>28</v>
      </c>
      <c r="AJ589">
        <v>0</v>
      </c>
      <c r="AK589">
        <v>14</v>
      </c>
      <c r="AL589" t="s">
        <v>3283</v>
      </c>
      <c r="AM589" t="s">
        <v>1148</v>
      </c>
      <c r="AN589" t="s">
        <v>3284</v>
      </c>
      <c r="AO589" t="s">
        <v>6808</v>
      </c>
      <c r="AP589" t="s">
        <v>6809</v>
      </c>
      <c r="AQ589" t="s">
        <v>74</v>
      </c>
      <c r="AR589" t="s">
        <v>6810</v>
      </c>
      <c r="AS589" t="s">
        <v>6811</v>
      </c>
      <c r="AT589" t="s">
        <v>7971</v>
      </c>
      <c r="AU589">
        <v>2005</v>
      </c>
      <c r="AV589">
        <v>137</v>
      </c>
      <c r="AW589" t="s">
        <v>485</v>
      </c>
      <c r="AX589" t="s">
        <v>74</v>
      </c>
      <c r="AY589" t="s">
        <v>74</v>
      </c>
      <c r="AZ589" t="s">
        <v>74</v>
      </c>
      <c r="BA589" t="s">
        <v>74</v>
      </c>
      <c r="BB589">
        <v>41</v>
      </c>
      <c r="BC589">
        <v>50</v>
      </c>
      <c r="BD589" t="s">
        <v>74</v>
      </c>
      <c r="BE589" t="s">
        <v>9237</v>
      </c>
      <c r="BF589" t="str">
        <f>HYPERLINK("http://dx.doi.org/10.1016/j.revpalbo.2005.09.001","http://dx.doi.org/10.1016/j.revpalbo.2005.09.001")</f>
        <v>http://dx.doi.org/10.1016/j.revpalbo.2005.09.001</v>
      </c>
      <c r="BG589" t="s">
        <v>74</v>
      </c>
      <c r="BH589" t="s">
        <v>74</v>
      </c>
      <c r="BI589">
        <v>10</v>
      </c>
      <c r="BJ589" t="s">
        <v>6813</v>
      </c>
      <c r="BK589" t="s">
        <v>98</v>
      </c>
      <c r="BL589" t="s">
        <v>6813</v>
      </c>
      <c r="BM589" t="s">
        <v>9238</v>
      </c>
      <c r="BN589" t="s">
        <v>74</v>
      </c>
      <c r="BO589" t="s">
        <v>74</v>
      </c>
      <c r="BP589" t="s">
        <v>74</v>
      </c>
      <c r="BQ589" t="s">
        <v>74</v>
      </c>
      <c r="BR589" t="s">
        <v>101</v>
      </c>
      <c r="BS589" t="s">
        <v>9239</v>
      </c>
      <c r="BT589" t="str">
        <f>HYPERLINK("https%3A%2F%2Fwww.webofscience.com%2Fwos%2Fwoscc%2Ffull-record%2FWOS:000233854200004","View Full Record in Web of Science")</f>
        <v>View Full Record in Web of Science</v>
      </c>
    </row>
    <row r="590" spans="1:72" x14ac:dyDescent="0.15">
      <c r="A590" t="s">
        <v>72</v>
      </c>
      <c r="B590" t="s">
        <v>9240</v>
      </c>
      <c r="C590" t="s">
        <v>74</v>
      </c>
      <c r="D590" t="s">
        <v>74</v>
      </c>
      <c r="E590" t="s">
        <v>74</v>
      </c>
      <c r="F590" t="s">
        <v>9240</v>
      </c>
      <c r="G590" t="s">
        <v>74</v>
      </c>
      <c r="H590" t="s">
        <v>74</v>
      </c>
      <c r="I590" t="s">
        <v>9241</v>
      </c>
      <c r="J590" t="s">
        <v>9242</v>
      </c>
      <c r="K590" t="s">
        <v>74</v>
      </c>
      <c r="L590" t="s">
        <v>74</v>
      </c>
      <c r="M590" t="s">
        <v>77</v>
      </c>
      <c r="N590" t="s">
        <v>78</v>
      </c>
      <c r="O590" t="s">
        <v>74</v>
      </c>
      <c r="P590" t="s">
        <v>74</v>
      </c>
      <c r="Q590" t="s">
        <v>74</v>
      </c>
      <c r="R590" t="s">
        <v>74</v>
      </c>
      <c r="S590" t="s">
        <v>74</v>
      </c>
      <c r="T590" t="s">
        <v>74</v>
      </c>
      <c r="U590" t="s">
        <v>9243</v>
      </c>
      <c r="V590" t="s">
        <v>9244</v>
      </c>
      <c r="W590" t="s">
        <v>9245</v>
      </c>
      <c r="X590" t="s">
        <v>9246</v>
      </c>
      <c r="Y590" t="s">
        <v>9247</v>
      </c>
      <c r="Z590" t="s">
        <v>9248</v>
      </c>
      <c r="AA590" t="s">
        <v>9249</v>
      </c>
      <c r="AB590" t="s">
        <v>74</v>
      </c>
      <c r="AC590" t="s">
        <v>74</v>
      </c>
      <c r="AD590" t="s">
        <v>74</v>
      </c>
      <c r="AE590" t="s">
        <v>74</v>
      </c>
      <c r="AF590" t="s">
        <v>74</v>
      </c>
      <c r="AG590">
        <v>20</v>
      </c>
      <c r="AH590">
        <v>1</v>
      </c>
      <c r="AI590">
        <v>1</v>
      </c>
      <c r="AJ590">
        <v>0</v>
      </c>
      <c r="AK590">
        <v>2</v>
      </c>
      <c r="AL590" t="s">
        <v>9250</v>
      </c>
      <c r="AM590" t="s">
        <v>9251</v>
      </c>
      <c r="AN590" t="s">
        <v>9252</v>
      </c>
      <c r="AO590" t="s">
        <v>9253</v>
      </c>
      <c r="AP590" t="s">
        <v>9254</v>
      </c>
      <c r="AQ590" t="s">
        <v>74</v>
      </c>
      <c r="AR590" t="s">
        <v>9255</v>
      </c>
      <c r="AS590" t="s">
        <v>9256</v>
      </c>
      <c r="AT590" t="s">
        <v>7952</v>
      </c>
      <c r="AU590">
        <v>2005</v>
      </c>
      <c r="AV590">
        <v>101</v>
      </c>
      <c r="AW590" t="s">
        <v>5673</v>
      </c>
      <c r="AX590" t="s">
        <v>74</v>
      </c>
      <c r="AY590" t="s">
        <v>74</v>
      </c>
      <c r="AZ590" t="s">
        <v>74</v>
      </c>
      <c r="BA590" t="s">
        <v>74</v>
      </c>
      <c r="BB590">
        <v>539</v>
      </c>
      <c r="BC590">
        <v>543</v>
      </c>
      <c r="BD590" t="s">
        <v>74</v>
      </c>
      <c r="BE590" t="s">
        <v>74</v>
      </c>
      <c r="BF590" t="s">
        <v>74</v>
      </c>
      <c r="BG590" t="s">
        <v>74</v>
      </c>
      <c r="BH590" t="s">
        <v>74</v>
      </c>
      <c r="BI590">
        <v>5</v>
      </c>
      <c r="BJ590" t="s">
        <v>3495</v>
      </c>
      <c r="BK590" t="s">
        <v>98</v>
      </c>
      <c r="BL590" t="s">
        <v>3496</v>
      </c>
      <c r="BM590" t="s">
        <v>9257</v>
      </c>
      <c r="BN590" t="s">
        <v>74</v>
      </c>
      <c r="BO590" t="s">
        <v>74</v>
      </c>
      <c r="BP590" t="s">
        <v>74</v>
      </c>
      <c r="BQ590" t="s">
        <v>74</v>
      </c>
      <c r="BR590" t="s">
        <v>101</v>
      </c>
      <c r="BS590" t="s">
        <v>9258</v>
      </c>
      <c r="BT590" t="str">
        <f>HYPERLINK("https%3A%2F%2Fwww.webofscience.com%2Fwos%2Fwoscc%2Ffull-record%2FWOS:000236832500018","View Full Record in Web of Science")</f>
        <v>View Full Record in Web of Science</v>
      </c>
    </row>
    <row r="591" spans="1:72" x14ac:dyDescent="0.15">
      <c r="A591" t="s">
        <v>72</v>
      </c>
      <c r="B591" t="s">
        <v>2908</v>
      </c>
      <c r="C591" t="s">
        <v>74</v>
      </c>
      <c r="D591" t="s">
        <v>74</v>
      </c>
      <c r="E591" t="s">
        <v>74</v>
      </c>
      <c r="F591" t="s">
        <v>2909</v>
      </c>
      <c r="G591" t="s">
        <v>74</v>
      </c>
      <c r="H591" t="s">
        <v>74</v>
      </c>
      <c r="I591" t="s">
        <v>9259</v>
      </c>
      <c r="J591" t="s">
        <v>9260</v>
      </c>
      <c r="K591" t="s">
        <v>74</v>
      </c>
      <c r="L591" t="s">
        <v>74</v>
      </c>
      <c r="M591" t="s">
        <v>77</v>
      </c>
      <c r="N591" t="s">
        <v>78</v>
      </c>
      <c r="O591" t="s">
        <v>74</v>
      </c>
      <c r="P591" t="s">
        <v>74</v>
      </c>
      <c r="Q591" t="s">
        <v>74</v>
      </c>
      <c r="R591" t="s">
        <v>74</v>
      </c>
      <c r="S591" t="s">
        <v>74</v>
      </c>
      <c r="T591" t="s">
        <v>74</v>
      </c>
      <c r="U591" t="s">
        <v>9261</v>
      </c>
      <c r="V591" t="s">
        <v>74</v>
      </c>
      <c r="W591" t="s">
        <v>9262</v>
      </c>
      <c r="X591" t="s">
        <v>9263</v>
      </c>
      <c r="Y591" t="s">
        <v>2924</v>
      </c>
      <c r="Z591" t="s">
        <v>931</v>
      </c>
      <c r="AA591" t="s">
        <v>74</v>
      </c>
      <c r="AB591" t="s">
        <v>74</v>
      </c>
      <c r="AC591" t="s">
        <v>74</v>
      </c>
      <c r="AD591" t="s">
        <v>74</v>
      </c>
      <c r="AE591" t="s">
        <v>74</v>
      </c>
      <c r="AF591" t="s">
        <v>74</v>
      </c>
      <c r="AG591">
        <v>20</v>
      </c>
      <c r="AH591">
        <v>94</v>
      </c>
      <c r="AI591">
        <v>106</v>
      </c>
      <c r="AJ591">
        <v>0</v>
      </c>
      <c r="AK591">
        <v>74</v>
      </c>
      <c r="AL591" t="s">
        <v>9264</v>
      </c>
      <c r="AM591" t="s">
        <v>1055</v>
      </c>
      <c r="AN591" t="s">
        <v>9265</v>
      </c>
      <c r="AO591" t="s">
        <v>9266</v>
      </c>
      <c r="AP591" t="s">
        <v>74</v>
      </c>
      <c r="AQ591" t="s">
        <v>74</v>
      </c>
      <c r="AR591" t="s">
        <v>9267</v>
      </c>
      <c r="AS591" t="s">
        <v>9268</v>
      </c>
      <c r="AT591" t="s">
        <v>7971</v>
      </c>
      <c r="AU591">
        <v>2005</v>
      </c>
      <c r="AV591">
        <v>5</v>
      </c>
      <c r="AW591" t="s">
        <v>74</v>
      </c>
      <c r="AX591" t="s">
        <v>74</v>
      </c>
      <c r="AY591" t="s">
        <v>74</v>
      </c>
      <c r="AZ591" t="s">
        <v>74</v>
      </c>
      <c r="BA591" t="s">
        <v>74</v>
      </c>
      <c r="BB591">
        <v>915</v>
      </c>
      <c r="BC591">
        <v>921</v>
      </c>
      <c r="BD591" t="s">
        <v>74</v>
      </c>
      <c r="BE591" t="s">
        <v>9269</v>
      </c>
      <c r="BF591" t="str">
        <f>HYPERLINK("http://dx.doi.org/10.1100/tsw.2005.120","http://dx.doi.org/10.1100/tsw.2005.120")</f>
        <v>http://dx.doi.org/10.1100/tsw.2005.120</v>
      </c>
      <c r="BG591" t="s">
        <v>74</v>
      </c>
      <c r="BH591" t="s">
        <v>74</v>
      </c>
      <c r="BI591">
        <v>7</v>
      </c>
      <c r="BJ591" t="s">
        <v>9270</v>
      </c>
      <c r="BK591" t="s">
        <v>98</v>
      </c>
      <c r="BL591" t="s">
        <v>9271</v>
      </c>
      <c r="BM591" t="s">
        <v>9272</v>
      </c>
      <c r="BN591">
        <v>16299643</v>
      </c>
      <c r="BO591" t="s">
        <v>6969</v>
      </c>
      <c r="BP591" t="s">
        <v>74</v>
      </c>
      <c r="BQ591" t="s">
        <v>74</v>
      </c>
      <c r="BR591" t="s">
        <v>101</v>
      </c>
      <c r="BS591" t="s">
        <v>9273</v>
      </c>
      <c r="BT591" t="str">
        <f>HYPERLINK("https%3A%2F%2Fwww.webofscience.com%2Fwos%2Fwoscc%2Ffull-record%2FWOS:000242385900004","View Full Record in Web of Science")</f>
        <v>View Full Record in Web of Science</v>
      </c>
    </row>
    <row r="592" spans="1:72" x14ac:dyDescent="0.15">
      <c r="A592" t="s">
        <v>72</v>
      </c>
      <c r="B592" t="s">
        <v>9274</v>
      </c>
      <c r="C592" t="s">
        <v>74</v>
      </c>
      <c r="D592" t="s">
        <v>74</v>
      </c>
      <c r="E592" t="s">
        <v>74</v>
      </c>
      <c r="F592" t="s">
        <v>9274</v>
      </c>
      <c r="G592" t="s">
        <v>74</v>
      </c>
      <c r="H592" t="s">
        <v>74</v>
      </c>
      <c r="I592" t="s">
        <v>9275</v>
      </c>
      <c r="J592" t="s">
        <v>5339</v>
      </c>
      <c r="K592" t="s">
        <v>74</v>
      </c>
      <c r="L592" t="s">
        <v>74</v>
      </c>
      <c r="M592" t="s">
        <v>77</v>
      </c>
      <c r="N592" t="s">
        <v>289</v>
      </c>
      <c r="O592" t="s">
        <v>74</v>
      </c>
      <c r="P592" t="s">
        <v>74</v>
      </c>
      <c r="Q592" t="s">
        <v>74</v>
      </c>
      <c r="R592" t="s">
        <v>74</v>
      </c>
      <c r="S592" t="s">
        <v>74</v>
      </c>
      <c r="T592" t="s">
        <v>9276</v>
      </c>
      <c r="U592" t="s">
        <v>9277</v>
      </c>
      <c r="V592" t="s">
        <v>9278</v>
      </c>
      <c r="W592" t="s">
        <v>9279</v>
      </c>
      <c r="X592" t="s">
        <v>9280</v>
      </c>
      <c r="Y592" t="s">
        <v>9281</v>
      </c>
      <c r="Z592" t="s">
        <v>9282</v>
      </c>
      <c r="AA592" t="s">
        <v>9283</v>
      </c>
      <c r="AB592" t="s">
        <v>9284</v>
      </c>
      <c r="AC592" t="s">
        <v>74</v>
      </c>
      <c r="AD592" t="s">
        <v>74</v>
      </c>
      <c r="AE592" t="s">
        <v>74</v>
      </c>
      <c r="AF592" t="s">
        <v>74</v>
      </c>
      <c r="AG592">
        <v>108</v>
      </c>
      <c r="AH592">
        <v>244</v>
      </c>
      <c r="AI592">
        <v>287</v>
      </c>
      <c r="AJ592">
        <v>0</v>
      </c>
      <c r="AK592">
        <v>34</v>
      </c>
      <c r="AL592" t="s">
        <v>1147</v>
      </c>
      <c r="AM592" t="s">
        <v>1148</v>
      </c>
      <c r="AN592" t="s">
        <v>1149</v>
      </c>
      <c r="AO592" t="s">
        <v>5349</v>
      </c>
      <c r="AP592" t="s">
        <v>74</v>
      </c>
      <c r="AQ592" t="s">
        <v>74</v>
      </c>
      <c r="AR592" t="s">
        <v>5351</v>
      </c>
      <c r="AS592" t="s">
        <v>5352</v>
      </c>
      <c r="AT592" t="s">
        <v>9285</v>
      </c>
      <c r="AU592">
        <v>2005</v>
      </c>
      <c r="AV592">
        <v>239</v>
      </c>
      <c r="AW592" t="s">
        <v>485</v>
      </c>
      <c r="AX592" t="s">
        <v>74</v>
      </c>
      <c r="AY592" t="s">
        <v>74</v>
      </c>
      <c r="AZ592" t="s">
        <v>74</v>
      </c>
      <c r="BA592" t="s">
        <v>74</v>
      </c>
      <c r="BB592">
        <v>140</v>
      </c>
      <c r="BC592">
        <v>161</v>
      </c>
      <c r="BD592" t="s">
        <v>74</v>
      </c>
      <c r="BE592" t="s">
        <v>9286</v>
      </c>
      <c r="BF592" t="str">
        <f>HYPERLINK("http://dx.doi.org/10.1016/j.epsl.2005.07.001","http://dx.doi.org/10.1016/j.epsl.2005.07.001")</f>
        <v>http://dx.doi.org/10.1016/j.epsl.2005.07.001</v>
      </c>
      <c r="BG592" t="s">
        <v>74</v>
      </c>
      <c r="BH592" t="s">
        <v>74</v>
      </c>
      <c r="BI592">
        <v>22</v>
      </c>
      <c r="BJ592" t="s">
        <v>1348</v>
      </c>
      <c r="BK592" t="s">
        <v>98</v>
      </c>
      <c r="BL592" t="s">
        <v>1348</v>
      </c>
      <c r="BM592" t="s">
        <v>9287</v>
      </c>
      <c r="BN592" t="s">
        <v>74</v>
      </c>
      <c r="BO592" t="s">
        <v>74</v>
      </c>
      <c r="BP592" t="s">
        <v>74</v>
      </c>
      <c r="BQ592" t="s">
        <v>74</v>
      </c>
      <c r="BR592" t="s">
        <v>101</v>
      </c>
      <c r="BS592" t="s">
        <v>9288</v>
      </c>
      <c r="BT592" t="str">
        <f>HYPERLINK("https%3A%2F%2Fwww.webofscience.com%2Fwos%2Fwoscc%2Ffull-record%2FWOS:000233324300011","View Full Record in Web of Science")</f>
        <v>View Full Record in Web of Science</v>
      </c>
    </row>
    <row r="593" spans="1:72" x14ac:dyDescent="0.15">
      <c r="A593" t="s">
        <v>72</v>
      </c>
      <c r="B593" t="s">
        <v>9289</v>
      </c>
      <c r="C593" t="s">
        <v>74</v>
      </c>
      <c r="D593" t="s">
        <v>74</v>
      </c>
      <c r="E593" t="s">
        <v>74</v>
      </c>
      <c r="F593" t="s">
        <v>9289</v>
      </c>
      <c r="G593" t="s">
        <v>74</v>
      </c>
      <c r="H593" t="s">
        <v>74</v>
      </c>
      <c r="I593" t="s">
        <v>9290</v>
      </c>
      <c r="J593" t="s">
        <v>5441</v>
      </c>
      <c r="K593" t="s">
        <v>74</v>
      </c>
      <c r="L593" t="s">
        <v>74</v>
      </c>
      <c r="M593" t="s">
        <v>77</v>
      </c>
      <c r="N593" t="s">
        <v>78</v>
      </c>
      <c r="O593" t="s">
        <v>74</v>
      </c>
      <c r="P593" t="s">
        <v>74</v>
      </c>
      <c r="Q593" t="s">
        <v>74</v>
      </c>
      <c r="R593" t="s">
        <v>74</v>
      </c>
      <c r="S593" t="s">
        <v>74</v>
      </c>
      <c r="T593" t="s">
        <v>74</v>
      </c>
      <c r="U593" t="s">
        <v>9291</v>
      </c>
      <c r="V593" t="s">
        <v>9292</v>
      </c>
      <c r="W593" t="s">
        <v>9293</v>
      </c>
      <c r="X593" t="s">
        <v>9294</v>
      </c>
      <c r="Y593" t="s">
        <v>9295</v>
      </c>
      <c r="Z593" t="s">
        <v>9296</v>
      </c>
      <c r="AA593" t="s">
        <v>9297</v>
      </c>
      <c r="AB593" t="s">
        <v>9298</v>
      </c>
      <c r="AC593" t="s">
        <v>74</v>
      </c>
      <c r="AD593" t="s">
        <v>74</v>
      </c>
      <c r="AE593" t="s">
        <v>74</v>
      </c>
      <c r="AF593" t="s">
        <v>74</v>
      </c>
      <c r="AG593">
        <v>93</v>
      </c>
      <c r="AH593">
        <v>183</v>
      </c>
      <c r="AI593">
        <v>197</v>
      </c>
      <c r="AJ593">
        <v>0</v>
      </c>
      <c r="AK593">
        <v>29</v>
      </c>
      <c r="AL593" t="s">
        <v>4487</v>
      </c>
      <c r="AM593" t="s">
        <v>2541</v>
      </c>
      <c r="AN593" t="s">
        <v>4488</v>
      </c>
      <c r="AO593" t="s">
        <v>5447</v>
      </c>
      <c r="AP593" t="s">
        <v>5448</v>
      </c>
      <c r="AQ593" t="s">
        <v>74</v>
      </c>
      <c r="AR593" t="s">
        <v>5441</v>
      </c>
      <c r="AS593" t="s">
        <v>5449</v>
      </c>
      <c r="AT593" t="s">
        <v>9299</v>
      </c>
      <c r="AU593">
        <v>2005</v>
      </c>
      <c r="AV593">
        <v>20</v>
      </c>
      <c r="AW593">
        <v>4</v>
      </c>
      <c r="AX593" t="s">
        <v>74</v>
      </c>
      <c r="AY593" t="s">
        <v>74</v>
      </c>
      <c r="AZ593" t="s">
        <v>74</v>
      </c>
      <c r="BA593" t="s">
        <v>74</v>
      </c>
      <c r="BB593" t="s">
        <v>74</v>
      </c>
      <c r="BC593" t="s">
        <v>74</v>
      </c>
      <c r="BD593" t="s">
        <v>9300</v>
      </c>
      <c r="BE593" t="s">
        <v>9301</v>
      </c>
      <c r="BF593" t="str">
        <f>HYPERLINK("http://dx.doi.org/10.1029/2005PA001146","http://dx.doi.org/10.1029/2005PA001146")</f>
        <v>http://dx.doi.org/10.1029/2005PA001146</v>
      </c>
      <c r="BG593" t="s">
        <v>74</v>
      </c>
      <c r="BH593" t="s">
        <v>74</v>
      </c>
      <c r="BI593">
        <v>15</v>
      </c>
      <c r="BJ593" t="s">
        <v>5452</v>
      </c>
      <c r="BK593" t="s">
        <v>98</v>
      </c>
      <c r="BL593" t="s">
        <v>5453</v>
      </c>
      <c r="BM593" t="s">
        <v>9302</v>
      </c>
      <c r="BN593" t="s">
        <v>74</v>
      </c>
      <c r="BO593" t="s">
        <v>5268</v>
      </c>
      <c r="BP593" t="s">
        <v>74</v>
      </c>
      <c r="BQ593" t="s">
        <v>74</v>
      </c>
      <c r="BR593" t="s">
        <v>101</v>
      </c>
      <c r="BS593" t="s">
        <v>9303</v>
      </c>
      <c r="BT593" t="str">
        <f>HYPERLINK("https%3A%2F%2Fwww.webofscience.com%2Fwos%2Fwoscc%2Ffull-record%2FWOS:000233111200001","View Full Record in Web of Science")</f>
        <v>View Full Record in Web of Science</v>
      </c>
    </row>
    <row r="594" spans="1:72" x14ac:dyDescent="0.15">
      <c r="A594" t="s">
        <v>72</v>
      </c>
      <c r="B594" t="s">
        <v>9304</v>
      </c>
      <c r="C594" t="s">
        <v>74</v>
      </c>
      <c r="D594" t="s">
        <v>74</v>
      </c>
      <c r="E594" t="s">
        <v>74</v>
      </c>
      <c r="F594" t="s">
        <v>9304</v>
      </c>
      <c r="G594" t="s">
        <v>74</v>
      </c>
      <c r="H594" t="s">
        <v>74</v>
      </c>
      <c r="I594" t="s">
        <v>9305</v>
      </c>
      <c r="J594" t="s">
        <v>5134</v>
      </c>
      <c r="K594" t="s">
        <v>74</v>
      </c>
      <c r="L594" t="s">
        <v>74</v>
      </c>
      <c r="M594" t="s">
        <v>77</v>
      </c>
      <c r="N594" t="s">
        <v>78</v>
      </c>
      <c r="O594" t="s">
        <v>74</v>
      </c>
      <c r="P594" t="s">
        <v>74</v>
      </c>
      <c r="Q594" t="s">
        <v>74</v>
      </c>
      <c r="R594" t="s">
        <v>74</v>
      </c>
      <c r="S594" t="s">
        <v>74</v>
      </c>
      <c r="T594" t="s">
        <v>74</v>
      </c>
      <c r="U594" t="s">
        <v>9306</v>
      </c>
      <c r="V594" t="s">
        <v>9307</v>
      </c>
      <c r="W594" t="s">
        <v>9308</v>
      </c>
      <c r="X594" t="s">
        <v>9309</v>
      </c>
      <c r="Y594" t="s">
        <v>9310</v>
      </c>
      <c r="Z594" t="s">
        <v>9311</v>
      </c>
      <c r="AA594" t="s">
        <v>9312</v>
      </c>
      <c r="AB594" t="s">
        <v>9313</v>
      </c>
      <c r="AC594" t="s">
        <v>74</v>
      </c>
      <c r="AD594" t="s">
        <v>74</v>
      </c>
      <c r="AE594" t="s">
        <v>74</v>
      </c>
      <c r="AF594" t="s">
        <v>74</v>
      </c>
      <c r="AG594">
        <v>23</v>
      </c>
      <c r="AH594">
        <v>14</v>
      </c>
      <c r="AI594">
        <v>14</v>
      </c>
      <c r="AJ594">
        <v>0</v>
      </c>
      <c r="AK594">
        <v>4</v>
      </c>
      <c r="AL594" t="s">
        <v>4487</v>
      </c>
      <c r="AM594" t="s">
        <v>2541</v>
      </c>
      <c r="AN594" t="s">
        <v>4488</v>
      </c>
      <c r="AO594" t="s">
        <v>5142</v>
      </c>
      <c r="AP594" t="s">
        <v>5143</v>
      </c>
      <c r="AQ594" t="s">
        <v>74</v>
      </c>
      <c r="AR594" t="s">
        <v>5144</v>
      </c>
      <c r="AS594" t="s">
        <v>5145</v>
      </c>
      <c r="AT594" t="s">
        <v>9314</v>
      </c>
      <c r="AU594">
        <v>2005</v>
      </c>
      <c r="AV594">
        <v>32</v>
      </c>
      <c r="AW594">
        <v>20</v>
      </c>
      <c r="AX594" t="s">
        <v>74</v>
      </c>
      <c r="AY594" t="s">
        <v>74</v>
      </c>
      <c r="AZ594" t="s">
        <v>74</v>
      </c>
      <c r="BA594" t="s">
        <v>74</v>
      </c>
      <c r="BB594" t="s">
        <v>74</v>
      </c>
      <c r="BC594" t="s">
        <v>74</v>
      </c>
      <c r="BD594" t="s">
        <v>9315</v>
      </c>
      <c r="BE594" t="s">
        <v>9316</v>
      </c>
      <c r="BF594" t="str">
        <f>HYPERLINK("http://dx.doi.org/10.1029/2005GL023968","http://dx.doi.org/10.1029/2005GL023968")</f>
        <v>http://dx.doi.org/10.1029/2005GL023968</v>
      </c>
      <c r="BG594" t="s">
        <v>74</v>
      </c>
      <c r="BH594" t="s">
        <v>74</v>
      </c>
      <c r="BI594">
        <v>5</v>
      </c>
      <c r="BJ594" t="s">
        <v>1129</v>
      </c>
      <c r="BK594" t="s">
        <v>98</v>
      </c>
      <c r="BL594" t="s">
        <v>1130</v>
      </c>
      <c r="BM594" t="s">
        <v>9317</v>
      </c>
      <c r="BN594" t="s">
        <v>74</v>
      </c>
      <c r="BO594" t="s">
        <v>74</v>
      </c>
      <c r="BP594" t="s">
        <v>74</v>
      </c>
      <c r="BQ594" t="s">
        <v>74</v>
      </c>
      <c r="BR594" t="s">
        <v>101</v>
      </c>
      <c r="BS594" t="s">
        <v>9318</v>
      </c>
      <c r="BT594" t="str">
        <f>HYPERLINK("https%3A%2F%2Fwww.webofscience.com%2Fwos%2Fwoscc%2Ffull-record%2FWOS:000233105100003","View Full Record in Web of Science")</f>
        <v>View Full Record in Web of Science</v>
      </c>
    </row>
    <row r="595" spans="1:72" x14ac:dyDescent="0.15">
      <c r="A595" t="s">
        <v>72</v>
      </c>
      <c r="B595" t="s">
        <v>9319</v>
      </c>
      <c r="C595" t="s">
        <v>74</v>
      </c>
      <c r="D595" t="s">
        <v>74</v>
      </c>
      <c r="E595" t="s">
        <v>74</v>
      </c>
      <c r="F595" t="s">
        <v>9319</v>
      </c>
      <c r="G595" t="s">
        <v>74</v>
      </c>
      <c r="H595" t="s">
        <v>74</v>
      </c>
      <c r="I595" t="s">
        <v>9320</v>
      </c>
      <c r="J595" t="s">
        <v>7721</v>
      </c>
      <c r="K595" t="s">
        <v>74</v>
      </c>
      <c r="L595" t="s">
        <v>74</v>
      </c>
      <c r="M595" t="s">
        <v>77</v>
      </c>
      <c r="N595" t="s">
        <v>78</v>
      </c>
      <c r="O595" t="s">
        <v>74</v>
      </c>
      <c r="P595" t="s">
        <v>74</v>
      </c>
      <c r="Q595" t="s">
        <v>74</v>
      </c>
      <c r="R595" t="s">
        <v>74</v>
      </c>
      <c r="S595" t="s">
        <v>74</v>
      </c>
      <c r="T595" t="s">
        <v>74</v>
      </c>
      <c r="U595" t="s">
        <v>9321</v>
      </c>
      <c r="V595" t="s">
        <v>9322</v>
      </c>
      <c r="W595" t="s">
        <v>9323</v>
      </c>
      <c r="X595" t="s">
        <v>9324</v>
      </c>
      <c r="Y595" t="s">
        <v>9325</v>
      </c>
      <c r="Z595" t="s">
        <v>9326</v>
      </c>
      <c r="AA595" t="s">
        <v>9327</v>
      </c>
      <c r="AB595" t="s">
        <v>9328</v>
      </c>
      <c r="AC595" t="s">
        <v>74</v>
      </c>
      <c r="AD595" t="s">
        <v>74</v>
      </c>
      <c r="AE595" t="s">
        <v>74</v>
      </c>
      <c r="AF595" t="s">
        <v>74</v>
      </c>
      <c r="AG595">
        <v>61</v>
      </c>
      <c r="AH595">
        <v>11</v>
      </c>
      <c r="AI595">
        <v>12</v>
      </c>
      <c r="AJ595">
        <v>0</v>
      </c>
      <c r="AK595">
        <v>6</v>
      </c>
      <c r="AL595" t="s">
        <v>4487</v>
      </c>
      <c r="AM595" t="s">
        <v>2541</v>
      </c>
      <c r="AN595" t="s">
        <v>4488</v>
      </c>
      <c r="AO595" t="s">
        <v>7728</v>
      </c>
      <c r="AP595" t="s">
        <v>7729</v>
      </c>
      <c r="AQ595" t="s">
        <v>74</v>
      </c>
      <c r="AR595" t="s">
        <v>7730</v>
      </c>
      <c r="AS595" t="s">
        <v>7731</v>
      </c>
      <c r="AT595" t="s">
        <v>9314</v>
      </c>
      <c r="AU595">
        <v>2005</v>
      </c>
      <c r="AV595">
        <v>110</v>
      </c>
      <c r="AW595" t="s">
        <v>9329</v>
      </c>
      <c r="AX595" t="s">
        <v>74</v>
      </c>
      <c r="AY595" t="s">
        <v>74</v>
      </c>
      <c r="AZ595" t="s">
        <v>74</v>
      </c>
      <c r="BA595" t="s">
        <v>74</v>
      </c>
      <c r="BB595" t="s">
        <v>74</v>
      </c>
      <c r="BC595" t="s">
        <v>74</v>
      </c>
      <c r="BD595" t="s">
        <v>9330</v>
      </c>
      <c r="BE595" t="s">
        <v>9331</v>
      </c>
      <c r="BF595" t="str">
        <f>HYPERLINK("http://dx.doi.org/10.1029/2003JA010242","http://dx.doi.org/10.1029/2003JA010242")</f>
        <v>http://dx.doi.org/10.1029/2003JA010242</v>
      </c>
      <c r="BG595" t="s">
        <v>74</v>
      </c>
      <c r="BH595" t="s">
        <v>74</v>
      </c>
      <c r="BI595">
        <v>9</v>
      </c>
      <c r="BJ595" t="s">
        <v>4376</v>
      </c>
      <c r="BK595" t="s">
        <v>98</v>
      </c>
      <c r="BL595" t="s">
        <v>4376</v>
      </c>
      <c r="BM595" t="s">
        <v>9332</v>
      </c>
      <c r="BN595" t="s">
        <v>74</v>
      </c>
      <c r="BO595" t="s">
        <v>1900</v>
      </c>
      <c r="BP595" t="s">
        <v>74</v>
      </c>
      <c r="BQ595" t="s">
        <v>74</v>
      </c>
      <c r="BR595" t="s">
        <v>101</v>
      </c>
      <c r="BS595" t="s">
        <v>9333</v>
      </c>
      <c r="BT595" t="str">
        <f>HYPERLINK("https%3A%2F%2Fwww.webofscience.com%2Fwos%2Fwoscc%2Ffull-record%2FWOS:000233110200001","View Full Record in Web of Science")</f>
        <v>View Full Record in Web of Science</v>
      </c>
    </row>
    <row r="596" spans="1:72" x14ac:dyDescent="0.15">
      <c r="A596" t="s">
        <v>72</v>
      </c>
      <c r="B596" t="s">
        <v>9334</v>
      </c>
      <c r="C596" t="s">
        <v>74</v>
      </c>
      <c r="D596" t="s">
        <v>74</v>
      </c>
      <c r="E596" t="s">
        <v>74</v>
      </c>
      <c r="F596" t="s">
        <v>9334</v>
      </c>
      <c r="G596" t="s">
        <v>74</v>
      </c>
      <c r="H596" t="s">
        <v>74</v>
      </c>
      <c r="I596" t="s">
        <v>9335</v>
      </c>
      <c r="J596" t="s">
        <v>6088</v>
      </c>
      <c r="K596" t="s">
        <v>74</v>
      </c>
      <c r="L596" t="s">
        <v>74</v>
      </c>
      <c r="M596" t="s">
        <v>77</v>
      </c>
      <c r="N596" t="s">
        <v>2596</v>
      </c>
      <c r="O596" t="s">
        <v>74</v>
      </c>
      <c r="P596" t="s">
        <v>74</v>
      </c>
      <c r="Q596" t="s">
        <v>74</v>
      </c>
      <c r="R596" t="s">
        <v>74</v>
      </c>
      <c r="S596" t="s">
        <v>74</v>
      </c>
      <c r="T596" t="s">
        <v>74</v>
      </c>
      <c r="U596" t="s">
        <v>74</v>
      </c>
      <c r="V596" t="s">
        <v>74</v>
      </c>
      <c r="W596" t="s">
        <v>74</v>
      </c>
      <c r="X596" t="s">
        <v>74</v>
      </c>
      <c r="Y596" t="s">
        <v>74</v>
      </c>
      <c r="Z596" t="s">
        <v>74</v>
      </c>
      <c r="AA596" t="s">
        <v>9336</v>
      </c>
      <c r="AB596" t="s">
        <v>74</v>
      </c>
      <c r="AC596" t="s">
        <v>74</v>
      </c>
      <c r="AD596" t="s">
        <v>74</v>
      </c>
      <c r="AE596" t="s">
        <v>74</v>
      </c>
      <c r="AF596" t="s">
        <v>74</v>
      </c>
      <c r="AG596">
        <v>0</v>
      </c>
      <c r="AH596">
        <v>14</v>
      </c>
      <c r="AI596">
        <v>17</v>
      </c>
      <c r="AJ596">
        <v>0</v>
      </c>
      <c r="AK596">
        <v>8</v>
      </c>
      <c r="AL596" t="s">
        <v>7361</v>
      </c>
      <c r="AM596" t="s">
        <v>2541</v>
      </c>
      <c r="AN596" t="s">
        <v>7362</v>
      </c>
      <c r="AO596" t="s">
        <v>7363</v>
      </c>
      <c r="AP596" t="s">
        <v>74</v>
      </c>
      <c r="AQ596" t="s">
        <v>74</v>
      </c>
      <c r="AR596" t="s">
        <v>6088</v>
      </c>
      <c r="AS596" t="s">
        <v>7365</v>
      </c>
      <c r="AT596" t="s">
        <v>9314</v>
      </c>
      <c r="AU596">
        <v>2005</v>
      </c>
      <c r="AV596">
        <v>310</v>
      </c>
      <c r="AW596">
        <v>5748</v>
      </c>
      <c r="AX596" t="s">
        <v>74</v>
      </c>
      <c r="AY596" t="s">
        <v>74</v>
      </c>
      <c r="AZ596" t="s">
        <v>74</v>
      </c>
      <c r="BA596" t="s">
        <v>74</v>
      </c>
      <c r="BB596">
        <v>611</v>
      </c>
      <c r="BC596">
        <v>612</v>
      </c>
      <c r="BD596" t="s">
        <v>74</v>
      </c>
      <c r="BE596" t="s">
        <v>9337</v>
      </c>
      <c r="BF596" t="str">
        <f>HYPERLINK("http://dx.doi.org/10.1126/science.310.5748.611","http://dx.doi.org/10.1126/science.310.5748.611")</f>
        <v>http://dx.doi.org/10.1126/science.310.5748.611</v>
      </c>
      <c r="BG596" t="s">
        <v>74</v>
      </c>
      <c r="BH596" t="s">
        <v>74</v>
      </c>
      <c r="BI596">
        <v>2</v>
      </c>
      <c r="BJ596" t="s">
        <v>3495</v>
      </c>
      <c r="BK596" t="s">
        <v>98</v>
      </c>
      <c r="BL596" t="s">
        <v>3496</v>
      </c>
      <c r="BM596" t="s">
        <v>9338</v>
      </c>
      <c r="BN596">
        <v>16254162</v>
      </c>
      <c r="BO596" t="s">
        <v>74</v>
      </c>
      <c r="BP596" t="s">
        <v>74</v>
      </c>
      <c r="BQ596" t="s">
        <v>74</v>
      </c>
      <c r="BR596" t="s">
        <v>101</v>
      </c>
      <c r="BS596" t="s">
        <v>9339</v>
      </c>
      <c r="BT596" t="str">
        <f>HYPERLINK("https%3A%2F%2Fwww.webofscience.com%2Fwos%2Fwoscc%2Ffull-record%2FWOS:000232997700011","View Full Record in Web of Science")</f>
        <v>View Full Record in Web of Science</v>
      </c>
    </row>
    <row r="597" spans="1:72" x14ac:dyDescent="0.15">
      <c r="A597" t="s">
        <v>72</v>
      </c>
      <c r="B597" t="s">
        <v>9340</v>
      </c>
      <c r="C597" t="s">
        <v>74</v>
      </c>
      <c r="D597" t="s">
        <v>74</v>
      </c>
      <c r="E597" t="s">
        <v>74</v>
      </c>
      <c r="F597" t="s">
        <v>9340</v>
      </c>
      <c r="G597" t="s">
        <v>74</v>
      </c>
      <c r="H597" t="s">
        <v>74</v>
      </c>
      <c r="I597" t="s">
        <v>9341</v>
      </c>
      <c r="J597" t="s">
        <v>7457</v>
      </c>
      <c r="K597" t="s">
        <v>74</v>
      </c>
      <c r="L597" t="s">
        <v>74</v>
      </c>
      <c r="M597" t="s">
        <v>77</v>
      </c>
      <c r="N597" t="s">
        <v>78</v>
      </c>
      <c r="O597" t="s">
        <v>74</v>
      </c>
      <c r="P597" t="s">
        <v>74</v>
      </c>
      <c r="Q597" t="s">
        <v>74</v>
      </c>
      <c r="R597" t="s">
        <v>74</v>
      </c>
      <c r="S597" t="s">
        <v>74</v>
      </c>
      <c r="T597" t="s">
        <v>9342</v>
      </c>
      <c r="U597" t="s">
        <v>74</v>
      </c>
      <c r="V597" t="s">
        <v>9343</v>
      </c>
      <c r="W597" t="s">
        <v>9344</v>
      </c>
      <c r="X597" t="s">
        <v>9345</v>
      </c>
      <c r="Y597" t="s">
        <v>9346</v>
      </c>
      <c r="Z597" t="s">
        <v>9347</v>
      </c>
      <c r="AA597" t="s">
        <v>74</v>
      </c>
      <c r="AB597" t="s">
        <v>74</v>
      </c>
      <c r="AC597" t="s">
        <v>74</v>
      </c>
      <c r="AD597" t="s">
        <v>74</v>
      </c>
      <c r="AE597" t="s">
        <v>74</v>
      </c>
      <c r="AF597" t="s">
        <v>74</v>
      </c>
      <c r="AG597">
        <v>6</v>
      </c>
      <c r="AH597">
        <v>3</v>
      </c>
      <c r="AI597">
        <v>4</v>
      </c>
      <c r="AJ597">
        <v>0</v>
      </c>
      <c r="AK597">
        <v>0</v>
      </c>
      <c r="AL597" t="s">
        <v>7466</v>
      </c>
      <c r="AM597" t="s">
        <v>7467</v>
      </c>
      <c r="AN597" t="s">
        <v>7468</v>
      </c>
      <c r="AO597" t="s">
        <v>7469</v>
      </c>
      <c r="AP597" t="s">
        <v>7470</v>
      </c>
      <c r="AQ597" t="s">
        <v>74</v>
      </c>
      <c r="AR597" t="s">
        <v>7457</v>
      </c>
      <c r="AS597" t="s">
        <v>7471</v>
      </c>
      <c r="AT597" t="s">
        <v>9314</v>
      </c>
      <c r="AU597">
        <v>2005</v>
      </c>
      <c r="AV597" t="s">
        <v>74</v>
      </c>
      <c r="AW597">
        <v>1071</v>
      </c>
      <c r="AX597" t="s">
        <v>74</v>
      </c>
      <c r="AY597" t="s">
        <v>74</v>
      </c>
      <c r="AZ597" t="s">
        <v>74</v>
      </c>
      <c r="BA597" t="s">
        <v>74</v>
      </c>
      <c r="BB597">
        <v>39</v>
      </c>
      <c r="BC597">
        <v>45</v>
      </c>
      <c r="BD597" t="s">
        <v>74</v>
      </c>
      <c r="BE597" t="s">
        <v>74</v>
      </c>
      <c r="BF597" t="s">
        <v>74</v>
      </c>
      <c r="BG597" t="s">
        <v>74</v>
      </c>
      <c r="BH597" t="s">
        <v>74</v>
      </c>
      <c r="BI597">
        <v>7</v>
      </c>
      <c r="BJ597" t="s">
        <v>532</v>
      </c>
      <c r="BK597" t="s">
        <v>98</v>
      </c>
      <c r="BL597" t="s">
        <v>532</v>
      </c>
      <c r="BM597" t="s">
        <v>9348</v>
      </c>
      <c r="BN597" t="s">
        <v>74</v>
      </c>
      <c r="BO597" t="s">
        <v>74</v>
      </c>
      <c r="BP597" t="s">
        <v>74</v>
      </c>
      <c r="BQ597" t="s">
        <v>74</v>
      </c>
      <c r="BR597" t="s">
        <v>101</v>
      </c>
      <c r="BS597" t="s">
        <v>9349</v>
      </c>
      <c r="BT597" t="str">
        <f>HYPERLINK("https%3A%2F%2Fwww.webofscience.com%2Fwos%2Fwoscc%2Ffull-record%2FWOS:000232964200003","View Full Record in Web of Science")</f>
        <v>View Full Record in Web of Science</v>
      </c>
    </row>
    <row r="598" spans="1:72" x14ac:dyDescent="0.15">
      <c r="A598" t="s">
        <v>72</v>
      </c>
      <c r="B598" t="s">
        <v>9350</v>
      </c>
      <c r="C598" t="s">
        <v>74</v>
      </c>
      <c r="D598" t="s">
        <v>74</v>
      </c>
      <c r="E598" t="s">
        <v>74</v>
      </c>
      <c r="F598" t="s">
        <v>9350</v>
      </c>
      <c r="G598" t="s">
        <v>74</v>
      </c>
      <c r="H598" t="s">
        <v>74</v>
      </c>
      <c r="I598" t="s">
        <v>9351</v>
      </c>
      <c r="J598" t="s">
        <v>5063</v>
      </c>
      <c r="K598" t="s">
        <v>74</v>
      </c>
      <c r="L598" t="s">
        <v>74</v>
      </c>
      <c r="M598" t="s">
        <v>77</v>
      </c>
      <c r="N598" t="s">
        <v>78</v>
      </c>
      <c r="O598" t="s">
        <v>74</v>
      </c>
      <c r="P598" t="s">
        <v>74</v>
      </c>
      <c r="Q598" t="s">
        <v>74</v>
      </c>
      <c r="R598" t="s">
        <v>74</v>
      </c>
      <c r="S598" t="s">
        <v>74</v>
      </c>
      <c r="T598" t="s">
        <v>74</v>
      </c>
      <c r="U598" t="s">
        <v>9352</v>
      </c>
      <c r="V598" t="s">
        <v>9353</v>
      </c>
      <c r="W598" t="s">
        <v>9354</v>
      </c>
      <c r="X598" t="s">
        <v>9355</v>
      </c>
      <c r="Y598" t="s">
        <v>9356</v>
      </c>
      <c r="Z598" t="s">
        <v>9357</v>
      </c>
      <c r="AA598" t="s">
        <v>9358</v>
      </c>
      <c r="AB598" t="s">
        <v>9359</v>
      </c>
      <c r="AC598" t="s">
        <v>74</v>
      </c>
      <c r="AD598" t="s">
        <v>74</v>
      </c>
      <c r="AE598" t="s">
        <v>74</v>
      </c>
      <c r="AF598" t="s">
        <v>74</v>
      </c>
      <c r="AG598">
        <v>37</v>
      </c>
      <c r="AH598">
        <v>9</v>
      </c>
      <c r="AI598">
        <v>9</v>
      </c>
      <c r="AJ598">
        <v>0</v>
      </c>
      <c r="AK598">
        <v>2</v>
      </c>
      <c r="AL598" t="s">
        <v>4487</v>
      </c>
      <c r="AM598" t="s">
        <v>2541</v>
      </c>
      <c r="AN598" t="s">
        <v>4488</v>
      </c>
      <c r="AO598" t="s">
        <v>5072</v>
      </c>
      <c r="AP598" t="s">
        <v>5073</v>
      </c>
      <c r="AQ598" t="s">
        <v>74</v>
      </c>
      <c r="AR598" t="s">
        <v>5074</v>
      </c>
      <c r="AS598" t="s">
        <v>5075</v>
      </c>
      <c r="AT598" t="s">
        <v>9360</v>
      </c>
      <c r="AU598">
        <v>2005</v>
      </c>
      <c r="AV598">
        <v>110</v>
      </c>
      <c r="AW598" t="s">
        <v>9361</v>
      </c>
      <c r="AX598" t="s">
        <v>74</v>
      </c>
      <c r="AY598" t="s">
        <v>74</v>
      </c>
      <c r="AZ598" t="s">
        <v>74</v>
      </c>
      <c r="BA598" t="s">
        <v>74</v>
      </c>
      <c r="BB598" t="s">
        <v>74</v>
      </c>
      <c r="BC598" t="s">
        <v>74</v>
      </c>
      <c r="BD598" t="s">
        <v>9362</v>
      </c>
      <c r="BE598" t="s">
        <v>9363</v>
      </c>
      <c r="BF598" t="str">
        <f>HYPERLINK("http://dx.doi.org/10.1029/2004JD005748","http://dx.doi.org/10.1029/2004JD005748")</f>
        <v>http://dx.doi.org/10.1029/2004JD005748</v>
      </c>
      <c r="BG598" t="s">
        <v>74</v>
      </c>
      <c r="BH598" t="s">
        <v>74</v>
      </c>
      <c r="BI598">
        <v>9</v>
      </c>
      <c r="BJ598" t="s">
        <v>2033</v>
      </c>
      <c r="BK598" t="s">
        <v>98</v>
      </c>
      <c r="BL598" t="s">
        <v>2033</v>
      </c>
      <c r="BM598" t="s">
        <v>9364</v>
      </c>
      <c r="BN598" t="s">
        <v>74</v>
      </c>
      <c r="BO598" t="s">
        <v>74</v>
      </c>
      <c r="BP598" t="s">
        <v>74</v>
      </c>
      <c r="BQ598" t="s">
        <v>74</v>
      </c>
      <c r="BR598" t="s">
        <v>101</v>
      </c>
      <c r="BS598" t="s">
        <v>9365</v>
      </c>
      <c r="BT598" t="str">
        <f>HYPERLINK("https%3A%2F%2Fwww.webofscience.com%2Fwos%2Fwoscc%2Ffull-record%2FWOS:000233106400003","View Full Record in Web of Science")</f>
        <v>View Full Record in Web of Science</v>
      </c>
    </row>
    <row r="599" spans="1:72" x14ac:dyDescent="0.15">
      <c r="A599" t="s">
        <v>72</v>
      </c>
      <c r="B599" t="s">
        <v>9366</v>
      </c>
      <c r="C599" t="s">
        <v>74</v>
      </c>
      <c r="D599" t="s">
        <v>74</v>
      </c>
      <c r="E599" t="s">
        <v>74</v>
      </c>
      <c r="F599" t="s">
        <v>9366</v>
      </c>
      <c r="G599" t="s">
        <v>74</v>
      </c>
      <c r="H599" t="s">
        <v>74</v>
      </c>
      <c r="I599" t="s">
        <v>9367</v>
      </c>
      <c r="J599" t="s">
        <v>5134</v>
      </c>
      <c r="K599" t="s">
        <v>74</v>
      </c>
      <c r="L599" t="s">
        <v>74</v>
      </c>
      <c r="M599" t="s">
        <v>77</v>
      </c>
      <c r="N599" t="s">
        <v>78</v>
      </c>
      <c r="O599" t="s">
        <v>74</v>
      </c>
      <c r="P599" t="s">
        <v>74</v>
      </c>
      <c r="Q599" t="s">
        <v>74</v>
      </c>
      <c r="R599" t="s">
        <v>74</v>
      </c>
      <c r="S599" t="s">
        <v>74</v>
      </c>
      <c r="T599" t="s">
        <v>74</v>
      </c>
      <c r="U599" t="s">
        <v>74</v>
      </c>
      <c r="V599" t="s">
        <v>9368</v>
      </c>
      <c r="W599" t="s">
        <v>9369</v>
      </c>
      <c r="X599" t="s">
        <v>9370</v>
      </c>
      <c r="Y599" t="s">
        <v>9371</v>
      </c>
      <c r="Z599" t="s">
        <v>9372</v>
      </c>
      <c r="AA599" t="s">
        <v>74</v>
      </c>
      <c r="AB599" t="s">
        <v>74</v>
      </c>
      <c r="AC599" t="s">
        <v>74</v>
      </c>
      <c r="AD599" t="s">
        <v>74</v>
      </c>
      <c r="AE599" t="s">
        <v>74</v>
      </c>
      <c r="AF599" t="s">
        <v>74</v>
      </c>
      <c r="AG599">
        <v>5</v>
      </c>
      <c r="AH599">
        <v>54</v>
      </c>
      <c r="AI599">
        <v>66</v>
      </c>
      <c r="AJ599">
        <v>4</v>
      </c>
      <c r="AK599">
        <v>26</v>
      </c>
      <c r="AL599" t="s">
        <v>4487</v>
      </c>
      <c r="AM599" t="s">
        <v>2541</v>
      </c>
      <c r="AN599" t="s">
        <v>4488</v>
      </c>
      <c r="AO599" t="s">
        <v>5142</v>
      </c>
      <c r="AP599" t="s">
        <v>5143</v>
      </c>
      <c r="AQ599" t="s">
        <v>74</v>
      </c>
      <c r="AR599" t="s">
        <v>5144</v>
      </c>
      <c r="AS599" t="s">
        <v>5145</v>
      </c>
      <c r="AT599" t="s">
        <v>9373</v>
      </c>
      <c r="AU599">
        <v>2005</v>
      </c>
      <c r="AV599">
        <v>32</v>
      </c>
      <c r="AW599">
        <v>21</v>
      </c>
      <c r="AX599" t="s">
        <v>74</v>
      </c>
      <c r="AY599" t="s">
        <v>74</v>
      </c>
      <c r="AZ599" t="s">
        <v>74</v>
      </c>
      <c r="BA599" t="s">
        <v>74</v>
      </c>
      <c r="BB599" t="s">
        <v>74</v>
      </c>
      <c r="BC599" t="s">
        <v>74</v>
      </c>
      <c r="BD599" t="s">
        <v>9374</v>
      </c>
      <c r="BE599" t="s">
        <v>9375</v>
      </c>
      <c r="BF599" t="str">
        <f>HYPERLINK("http://dx.doi.org/10.1029/2005GL023800","http://dx.doi.org/10.1029/2005GL023800")</f>
        <v>http://dx.doi.org/10.1029/2005GL023800</v>
      </c>
      <c r="BG599" t="s">
        <v>74</v>
      </c>
      <c r="BH599" t="s">
        <v>74</v>
      </c>
      <c r="BI599">
        <v>4</v>
      </c>
      <c r="BJ599" t="s">
        <v>1129</v>
      </c>
      <c r="BK599" t="s">
        <v>98</v>
      </c>
      <c r="BL599" t="s">
        <v>1130</v>
      </c>
      <c r="BM599" t="s">
        <v>9376</v>
      </c>
      <c r="BN599" t="s">
        <v>74</v>
      </c>
      <c r="BO599" t="s">
        <v>1900</v>
      </c>
      <c r="BP599" t="s">
        <v>74</v>
      </c>
      <c r="BQ599" t="s">
        <v>74</v>
      </c>
      <c r="BR599" t="s">
        <v>101</v>
      </c>
      <c r="BS599" t="s">
        <v>9377</v>
      </c>
      <c r="BT599" t="str">
        <f>HYPERLINK("https%3A%2F%2Fwww.webofscience.com%2Fwos%2Fwoscc%2Ffull-record%2FWOS:000233105300001","View Full Record in Web of Science")</f>
        <v>View Full Record in Web of Science</v>
      </c>
    </row>
    <row r="600" spans="1:72" x14ac:dyDescent="0.15">
      <c r="A600" t="s">
        <v>72</v>
      </c>
      <c r="B600" t="s">
        <v>9378</v>
      </c>
      <c r="C600" t="s">
        <v>74</v>
      </c>
      <c r="D600" t="s">
        <v>74</v>
      </c>
      <c r="E600" t="s">
        <v>74</v>
      </c>
      <c r="F600" t="s">
        <v>9378</v>
      </c>
      <c r="G600" t="s">
        <v>74</v>
      </c>
      <c r="H600" t="s">
        <v>74</v>
      </c>
      <c r="I600" t="s">
        <v>9379</v>
      </c>
      <c r="J600" t="s">
        <v>5063</v>
      </c>
      <c r="K600" t="s">
        <v>74</v>
      </c>
      <c r="L600" t="s">
        <v>74</v>
      </c>
      <c r="M600" t="s">
        <v>77</v>
      </c>
      <c r="N600" t="s">
        <v>78</v>
      </c>
      <c r="O600" t="s">
        <v>74</v>
      </c>
      <c r="P600" t="s">
        <v>74</v>
      </c>
      <c r="Q600" t="s">
        <v>74</v>
      </c>
      <c r="R600" t="s">
        <v>74</v>
      </c>
      <c r="S600" t="s">
        <v>74</v>
      </c>
      <c r="T600" t="s">
        <v>74</v>
      </c>
      <c r="U600" t="s">
        <v>9380</v>
      </c>
      <c r="V600" t="s">
        <v>9381</v>
      </c>
      <c r="W600" t="s">
        <v>9382</v>
      </c>
      <c r="X600" t="s">
        <v>9383</v>
      </c>
      <c r="Y600" t="s">
        <v>9384</v>
      </c>
      <c r="Z600" t="s">
        <v>9385</v>
      </c>
      <c r="AA600" t="s">
        <v>9386</v>
      </c>
      <c r="AB600" t="s">
        <v>9387</v>
      </c>
      <c r="AC600" t="s">
        <v>74</v>
      </c>
      <c r="AD600" t="s">
        <v>74</v>
      </c>
      <c r="AE600" t="s">
        <v>74</v>
      </c>
      <c r="AF600" t="s">
        <v>74</v>
      </c>
      <c r="AG600">
        <v>35</v>
      </c>
      <c r="AH600">
        <v>46</v>
      </c>
      <c r="AI600">
        <v>47</v>
      </c>
      <c r="AJ600">
        <v>0</v>
      </c>
      <c r="AK600">
        <v>4</v>
      </c>
      <c r="AL600" t="s">
        <v>4487</v>
      </c>
      <c r="AM600" t="s">
        <v>2541</v>
      </c>
      <c r="AN600" t="s">
        <v>4488</v>
      </c>
      <c r="AO600" t="s">
        <v>5072</v>
      </c>
      <c r="AP600" t="s">
        <v>5073</v>
      </c>
      <c r="AQ600" t="s">
        <v>74</v>
      </c>
      <c r="AR600" t="s">
        <v>5074</v>
      </c>
      <c r="AS600" t="s">
        <v>5075</v>
      </c>
      <c r="AT600" t="s">
        <v>9373</v>
      </c>
      <c r="AU600">
        <v>2005</v>
      </c>
      <c r="AV600">
        <v>110</v>
      </c>
      <c r="AW600" t="s">
        <v>9361</v>
      </c>
      <c r="AX600" t="s">
        <v>74</v>
      </c>
      <c r="AY600" t="s">
        <v>74</v>
      </c>
      <c r="AZ600" t="s">
        <v>74</v>
      </c>
      <c r="BA600" t="s">
        <v>74</v>
      </c>
      <c r="BB600" t="s">
        <v>74</v>
      </c>
      <c r="BC600" t="s">
        <v>74</v>
      </c>
      <c r="BD600" t="s">
        <v>9388</v>
      </c>
      <c r="BE600" t="s">
        <v>9389</v>
      </c>
      <c r="BF600" t="str">
        <f>HYPERLINK("http://dx.doi.org/10.1029/2005JD006011","http://dx.doi.org/10.1029/2005JD006011")</f>
        <v>http://dx.doi.org/10.1029/2005JD006011</v>
      </c>
      <c r="BG600" t="s">
        <v>74</v>
      </c>
      <c r="BH600" t="s">
        <v>74</v>
      </c>
      <c r="BI600">
        <v>14</v>
      </c>
      <c r="BJ600" t="s">
        <v>2033</v>
      </c>
      <c r="BK600" t="s">
        <v>98</v>
      </c>
      <c r="BL600" t="s">
        <v>2033</v>
      </c>
      <c r="BM600" t="s">
        <v>9390</v>
      </c>
      <c r="BN600" t="s">
        <v>74</v>
      </c>
      <c r="BO600" t="s">
        <v>1900</v>
      </c>
      <c r="BP600" t="s">
        <v>74</v>
      </c>
      <c r="BQ600" t="s">
        <v>74</v>
      </c>
      <c r="BR600" t="s">
        <v>101</v>
      </c>
      <c r="BS600" t="s">
        <v>9391</v>
      </c>
      <c r="BT600" t="str">
        <f>HYPERLINK("https%3A%2F%2Fwww.webofscience.com%2Fwos%2Fwoscc%2Ffull-record%2FWOS:000233106300003","View Full Record in Web of Science")</f>
        <v>View Full Record in Web of Science</v>
      </c>
    </row>
    <row r="601" spans="1:72" x14ac:dyDescent="0.15">
      <c r="A601" t="s">
        <v>72</v>
      </c>
      <c r="B601" t="s">
        <v>9392</v>
      </c>
      <c r="C601" t="s">
        <v>74</v>
      </c>
      <c r="D601" t="s">
        <v>74</v>
      </c>
      <c r="E601" t="s">
        <v>74</v>
      </c>
      <c r="F601" t="s">
        <v>9392</v>
      </c>
      <c r="G601" t="s">
        <v>74</v>
      </c>
      <c r="H601" t="s">
        <v>74</v>
      </c>
      <c r="I601" t="s">
        <v>9393</v>
      </c>
      <c r="J601" t="s">
        <v>9394</v>
      </c>
      <c r="K601" t="s">
        <v>74</v>
      </c>
      <c r="L601" t="s">
        <v>74</v>
      </c>
      <c r="M601" t="s">
        <v>77</v>
      </c>
      <c r="N601" t="s">
        <v>78</v>
      </c>
      <c r="O601" t="s">
        <v>74</v>
      </c>
      <c r="P601" t="s">
        <v>74</v>
      </c>
      <c r="Q601" t="s">
        <v>74</v>
      </c>
      <c r="R601" t="s">
        <v>74</v>
      </c>
      <c r="S601" t="s">
        <v>74</v>
      </c>
      <c r="T601" t="s">
        <v>9395</v>
      </c>
      <c r="U601" t="s">
        <v>9396</v>
      </c>
      <c r="V601" t="s">
        <v>9397</v>
      </c>
      <c r="W601" t="s">
        <v>9398</v>
      </c>
      <c r="X601" t="s">
        <v>9399</v>
      </c>
      <c r="Y601" t="s">
        <v>9400</v>
      </c>
      <c r="Z601" t="s">
        <v>9401</v>
      </c>
      <c r="AA601" t="s">
        <v>9402</v>
      </c>
      <c r="AB601" t="s">
        <v>9403</v>
      </c>
      <c r="AC601" t="s">
        <v>74</v>
      </c>
      <c r="AD601" t="s">
        <v>74</v>
      </c>
      <c r="AE601" t="s">
        <v>74</v>
      </c>
      <c r="AF601" t="s">
        <v>74</v>
      </c>
      <c r="AG601">
        <v>52</v>
      </c>
      <c r="AH601">
        <v>71</v>
      </c>
      <c r="AI601">
        <v>74</v>
      </c>
      <c r="AJ601">
        <v>0</v>
      </c>
      <c r="AK601">
        <v>14</v>
      </c>
      <c r="AL601" t="s">
        <v>6115</v>
      </c>
      <c r="AM601" t="s">
        <v>1055</v>
      </c>
      <c r="AN601" t="s">
        <v>6116</v>
      </c>
      <c r="AO601" t="s">
        <v>9404</v>
      </c>
      <c r="AP601" t="s">
        <v>9405</v>
      </c>
      <c r="AQ601" t="s">
        <v>74</v>
      </c>
      <c r="AR601" t="s">
        <v>9406</v>
      </c>
      <c r="AS601" t="s">
        <v>9407</v>
      </c>
      <c r="AT601" t="s">
        <v>9408</v>
      </c>
      <c r="AU601">
        <v>2005</v>
      </c>
      <c r="AV601">
        <v>353</v>
      </c>
      <c r="AW601">
        <v>2</v>
      </c>
      <c r="AX601" t="s">
        <v>74</v>
      </c>
      <c r="AY601" t="s">
        <v>74</v>
      </c>
      <c r="AZ601" t="s">
        <v>74</v>
      </c>
      <c r="BA601" t="s">
        <v>74</v>
      </c>
      <c r="BB601">
        <v>282</v>
      </c>
      <c r="BC601">
        <v>294</v>
      </c>
      <c r="BD601" t="s">
        <v>74</v>
      </c>
      <c r="BE601" t="s">
        <v>9409</v>
      </c>
      <c r="BF601" t="str">
        <f>HYPERLINK("http://dx.doi.org/10.1016/j.jmb.2005.08.028","http://dx.doi.org/10.1016/j.jmb.2005.08.028")</f>
        <v>http://dx.doi.org/10.1016/j.jmb.2005.08.028</v>
      </c>
      <c r="BG601" t="s">
        <v>74</v>
      </c>
      <c r="BH601" t="s">
        <v>74</v>
      </c>
      <c r="BI601">
        <v>13</v>
      </c>
      <c r="BJ601" t="s">
        <v>124</v>
      </c>
      <c r="BK601" t="s">
        <v>98</v>
      </c>
      <c r="BL601" t="s">
        <v>124</v>
      </c>
      <c r="BM601" t="s">
        <v>9410</v>
      </c>
      <c r="BN601">
        <v>16171818</v>
      </c>
      <c r="BO601" t="s">
        <v>74</v>
      </c>
      <c r="BP601" t="s">
        <v>74</v>
      </c>
      <c r="BQ601" t="s">
        <v>74</v>
      </c>
      <c r="BR601" t="s">
        <v>101</v>
      </c>
      <c r="BS601" t="s">
        <v>9411</v>
      </c>
      <c r="BT601" t="str">
        <f>HYPERLINK("https%3A%2F%2Fwww.webofscience.com%2Fwos%2Fwoscc%2Ffull-record%2FWOS:000232505600007","View Full Record in Web of Science")</f>
        <v>View Full Record in Web of Science</v>
      </c>
    </row>
    <row r="602" spans="1:72" x14ac:dyDescent="0.15">
      <c r="A602" t="s">
        <v>72</v>
      </c>
      <c r="B602" t="s">
        <v>9412</v>
      </c>
      <c r="C602" t="s">
        <v>74</v>
      </c>
      <c r="D602" t="s">
        <v>74</v>
      </c>
      <c r="E602" t="s">
        <v>74</v>
      </c>
      <c r="F602" t="s">
        <v>9412</v>
      </c>
      <c r="G602" t="s">
        <v>74</v>
      </c>
      <c r="H602" t="s">
        <v>74</v>
      </c>
      <c r="I602" t="s">
        <v>9413</v>
      </c>
      <c r="J602" t="s">
        <v>6088</v>
      </c>
      <c r="K602" t="s">
        <v>74</v>
      </c>
      <c r="L602" t="s">
        <v>74</v>
      </c>
      <c r="M602" t="s">
        <v>77</v>
      </c>
      <c r="N602" t="s">
        <v>289</v>
      </c>
      <c r="O602" t="s">
        <v>74</v>
      </c>
      <c r="P602" t="s">
        <v>74</v>
      </c>
      <c r="Q602" t="s">
        <v>74</v>
      </c>
      <c r="R602" t="s">
        <v>74</v>
      </c>
      <c r="S602" t="s">
        <v>74</v>
      </c>
      <c r="T602" t="s">
        <v>74</v>
      </c>
      <c r="U602" t="s">
        <v>9414</v>
      </c>
      <c r="V602" t="s">
        <v>9415</v>
      </c>
      <c r="W602" t="s">
        <v>9416</v>
      </c>
      <c r="X602" t="s">
        <v>9417</v>
      </c>
      <c r="Y602" t="s">
        <v>9418</v>
      </c>
      <c r="Z602" t="s">
        <v>9419</v>
      </c>
      <c r="AA602" t="s">
        <v>9420</v>
      </c>
      <c r="AB602" t="s">
        <v>9421</v>
      </c>
      <c r="AC602" t="s">
        <v>9422</v>
      </c>
      <c r="AD602" t="s">
        <v>9423</v>
      </c>
      <c r="AE602" t="s">
        <v>74</v>
      </c>
      <c r="AF602" t="s">
        <v>74</v>
      </c>
      <c r="AG602">
        <v>66</v>
      </c>
      <c r="AH602">
        <v>403</v>
      </c>
      <c r="AI602">
        <v>495</v>
      </c>
      <c r="AJ602">
        <v>6</v>
      </c>
      <c r="AK602">
        <v>312</v>
      </c>
      <c r="AL602" t="s">
        <v>7361</v>
      </c>
      <c r="AM602" t="s">
        <v>2541</v>
      </c>
      <c r="AN602" t="s">
        <v>7362</v>
      </c>
      <c r="AO602" t="s">
        <v>7363</v>
      </c>
      <c r="AP602" t="s">
        <v>7364</v>
      </c>
      <c r="AQ602" t="s">
        <v>74</v>
      </c>
      <c r="AR602" t="s">
        <v>6088</v>
      </c>
      <c r="AS602" t="s">
        <v>7365</v>
      </c>
      <c r="AT602" t="s">
        <v>9408</v>
      </c>
      <c r="AU602">
        <v>2005</v>
      </c>
      <c r="AV602">
        <v>310</v>
      </c>
      <c r="AW602">
        <v>5747</v>
      </c>
      <c r="AX602" t="s">
        <v>74</v>
      </c>
      <c r="AY602" t="s">
        <v>74</v>
      </c>
      <c r="AZ602" t="s">
        <v>74</v>
      </c>
      <c r="BA602" t="s">
        <v>74</v>
      </c>
      <c r="BB602">
        <v>456</v>
      </c>
      <c r="BC602">
        <v>460</v>
      </c>
      <c r="BD602" t="s">
        <v>74</v>
      </c>
      <c r="BE602" t="s">
        <v>9424</v>
      </c>
      <c r="BF602" t="str">
        <f>HYPERLINK("http://dx.doi.org/10.1126/science.1114613","http://dx.doi.org/10.1126/science.1114613")</f>
        <v>http://dx.doi.org/10.1126/science.1114613</v>
      </c>
      <c r="BG602" t="s">
        <v>74</v>
      </c>
      <c r="BH602" t="s">
        <v>74</v>
      </c>
      <c r="BI602">
        <v>5</v>
      </c>
      <c r="BJ602" t="s">
        <v>3495</v>
      </c>
      <c r="BK602" t="s">
        <v>98</v>
      </c>
      <c r="BL602" t="s">
        <v>3496</v>
      </c>
      <c r="BM602" t="s">
        <v>9425</v>
      </c>
      <c r="BN602">
        <v>16239468</v>
      </c>
      <c r="BO602" t="s">
        <v>534</v>
      </c>
      <c r="BP602" t="s">
        <v>74</v>
      </c>
      <c r="BQ602" t="s">
        <v>74</v>
      </c>
      <c r="BR602" t="s">
        <v>101</v>
      </c>
      <c r="BS602" t="s">
        <v>9426</v>
      </c>
      <c r="BT602" t="str">
        <f>HYPERLINK("https%3A%2F%2Fwww.webofscience.com%2Fwos%2Fwoscc%2Ffull-record%2FWOS:000232786000035","View Full Record in Web of Science")</f>
        <v>View Full Record in Web of Science</v>
      </c>
    </row>
    <row r="603" spans="1:72" x14ac:dyDescent="0.15">
      <c r="A603" t="s">
        <v>72</v>
      </c>
      <c r="B603" t="s">
        <v>9427</v>
      </c>
      <c r="C603" t="s">
        <v>74</v>
      </c>
      <c r="D603" t="s">
        <v>74</v>
      </c>
      <c r="E603" t="s">
        <v>74</v>
      </c>
      <c r="F603" t="s">
        <v>9427</v>
      </c>
      <c r="G603" t="s">
        <v>74</v>
      </c>
      <c r="H603" t="s">
        <v>74</v>
      </c>
      <c r="I603" t="s">
        <v>9428</v>
      </c>
      <c r="J603" t="s">
        <v>5234</v>
      </c>
      <c r="K603" t="s">
        <v>74</v>
      </c>
      <c r="L603" t="s">
        <v>74</v>
      </c>
      <c r="M603" t="s">
        <v>77</v>
      </c>
      <c r="N603" t="s">
        <v>78</v>
      </c>
      <c r="O603" t="s">
        <v>74</v>
      </c>
      <c r="P603" t="s">
        <v>74</v>
      </c>
      <c r="Q603" t="s">
        <v>74</v>
      </c>
      <c r="R603" t="s">
        <v>74</v>
      </c>
      <c r="S603" t="s">
        <v>74</v>
      </c>
      <c r="T603" t="s">
        <v>74</v>
      </c>
      <c r="U603" t="s">
        <v>9429</v>
      </c>
      <c r="V603" t="s">
        <v>9430</v>
      </c>
      <c r="W603" t="s">
        <v>9431</v>
      </c>
      <c r="X603" t="s">
        <v>9432</v>
      </c>
      <c r="Y603" t="s">
        <v>9433</v>
      </c>
      <c r="Z603" t="s">
        <v>9434</v>
      </c>
      <c r="AA603" t="s">
        <v>9435</v>
      </c>
      <c r="AB603" t="s">
        <v>74</v>
      </c>
      <c r="AC603" t="s">
        <v>74</v>
      </c>
      <c r="AD603" t="s">
        <v>74</v>
      </c>
      <c r="AE603" t="s">
        <v>74</v>
      </c>
      <c r="AF603" t="s">
        <v>74</v>
      </c>
      <c r="AG603">
        <v>85</v>
      </c>
      <c r="AH603">
        <v>38</v>
      </c>
      <c r="AI603">
        <v>44</v>
      </c>
      <c r="AJ603">
        <v>2</v>
      </c>
      <c r="AK603">
        <v>26</v>
      </c>
      <c r="AL603" t="s">
        <v>348</v>
      </c>
      <c r="AM603" t="s">
        <v>349</v>
      </c>
      <c r="AN603" t="s">
        <v>1523</v>
      </c>
      <c r="AO603" t="s">
        <v>5241</v>
      </c>
      <c r="AP603" t="s">
        <v>5242</v>
      </c>
      <c r="AQ603" t="s">
        <v>74</v>
      </c>
      <c r="AR603" t="s">
        <v>5243</v>
      </c>
      <c r="AS603" t="s">
        <v>5244</v>
      </c>
      <c r="AT603" t="s">
        <v>9436</v>
      </c>
      <c r="AU603">
        <v>2005</v>
      </c>
      <c r="AV603">
        <v>26</v>
      </c>
      <c r="AW603">
        <v>20</v>
      </c>
      <c r="AX603" t="s">
        <v>74</v>
      </c>
      <c r="AY603" t="s">
        <v>74</v>
      </c>
      <c r="AZ603" t="s">
        <v>74</v>
      </c>
      <c r="BA603" t="s">
        <v>74</v>
      </c>
      <c r="BB603">
        <v>4537</v>
      </c>
      <c r="BC603">
        <v>4563</v>
      </c>
      <c r="BD603" t="s">
        <v>74</v>
      </c>
      <c r="BE603" t="s">
        <v>9437</v>
      </c>
      <c r="BF603" t="str">
        <f>HYPERLINK("http://dx.doi.org/10.1080/01431160500239198","http://dx.doi.org/10.1080/01431160500239198")</f>
        <v>http://dx.doi.org/10.1080/01431160500239198</v>
      </c>
      <c r="BG603" t="s">
        <v>74</v>
      </c>
      <c r="BH603" t="s">
        <v>74</v>
      </c>
      <c r="BI603">
        <v>27</v>
      </c>
      <c r="BJ603" t="s">
        <v>5246</v>
      </c>
      <c r="BK603" t="s">
        <v>98</v>
      </c>
      <c r="BL603" t="s">
        <v>5246</v>
      </c>
      <c r="BM603" t="s">
        <v>9438</v>
      </c>
      <c r="BN603" t="s">
        <v>74</v>
      </c>
      <c r="BO603" t="s">
        <v>534</v>
      </c>
      <c r="BP603" t="s">
        <v>74</v>
      </c>
      <c r="BQ603" t="s">
        <v>74</v>
      </c>
      <c r="BR603" t="s">
        <v>101</v>
      </c>
      <c r="BS603" t="s">
        <v>9439</v>
      </c>
      <c r="BT603" t="str">
        <f>HYPERLINK("https%3A%2F%2Fwww.webofscience.com%2Fwos%2Fwoscc%2Ffull-record%2FWOS:000233909500010","View Full Record in Web of Science")</f>
        <v>View Full Record in Web of Science</v>
      </c>
    </row>
    <row r="604" spans="1:72" x14ac:dyDescent="0.15">
      <c r="A604" t="s">
        <v>72</v>
      </c>
      <c r="B604" t="s">
        <v>9440</v>
      </c>
      <c r="C604" t="s">
        <v>74</v>
      </c>
      <c r="D604" t="s">
        <v>74</v>
      </c>
      <c r="E604" t="s">
        <v>74</v>
      </c>
      <c r="F604" t="s">
        <v>9440</v>
      </c>
      <c r="G604" t="s">
        <v>74</v>
      </c>
      <c r="H604" t="s">
        <v>74</v>
      </c>
      <c r="I604" t="s">
        <v>9441</v>
      </c>
      <c r="J604" t="s">
        <v>5063</v>
      </c>
      <c r="K604" t="s">
        <v>74</v>
      </c>
      <c r="L604" t="s">
        <v>74</v>
      </c>
      <c r="M604" t="s">
        <v>77</v>
      </c>
      <c r="N604" t="s">
        <v>78</v>
      </c>
      <c r="O604" t="s">
        <v>74</v>
      </c>
      <c r="P604" t="s">
        <v>74</v>
      </c>
      <c r="Q604" t="s">
        <v>74</v>
      </c>
      <c r="R604" t="s">
        <v>74</v>
      </c>
      <c r="S604" t="s">
        <v>74</v>
      </c>
      <c r="T604" t="s">
        <v>74</v>
      </c>
      <c r="U604" t="s">
        <v>9442</v>
      </c>
      <c r="V604" t="s">
        <v>9443</v>
      </c>
      <c r="W604" t="s">
        <v>9444</v>
      </c>
      <c r="X604" t="s">
        <v>9445</v>
      </c>
      <c r="Y604" t="s">
        <v>9446</v>
      </c>
      <c r="Z604" t="s">
        <v>9447</v>
      </c>
      <c r="AA604" t="s">
        <v>9448</v>
      </c>
      <c r="AB604" t="s">
        <v>9449</v>
      </c>
      <c r="AC604" t="s">
        <v>74</v>
      </c>
      <c r="AD604" t="s">
        <v>74</v>
      </c>
      <c r="AE604" t="s">
        <v>74</v>
      </c>
      <c r="AF604" t="s">
        <v>74</v>
      </c>
      <c r="AG604">
        <v>44</v>
      </c>
      <c r="AH604">
        <v>9</v>
      </c>
      <c r="AI604">
        <v>9</v>
      </c>
      <c r="AJ604">
        <v>0</v>
      </c>
      <c r="AK604">
        <v>7</v>
      </c>
      <c r="AL604" t="s">
        <v>4487</v>
      </c>
      <c r="AM604" t="s">
        <v>2541</v>
      </c>
      <c r="AN604" t="s">
        <v>4488</v>
      </c>
      <c r="AO604" t="s">
        <v>5072</v>
      </c>
      <c r="AP604" t="s">
        <v>5073</v>
      </c>
      <c r="AQ604" t="s">
        <v>74</v>
      </c>
      <c r="AR604" t="s">
        <v>5074</v>
      </c>
      <c r="AS604" t="s">
        <v>5075</v>
      </c>
      <c r="AT604" t="s">
        <v>9436</v>
      </c>
      <c r="AU604">
        <v>2005</v>
      </c>
      <c r="AV604">
        <v>110</v>
      </c>
      <c r="AW604" t="s">
        <v>9361</v>
      </c>
      <c r="AX604" t="s">
        <v>74</v>
      </c>
      <c r="AY604" t="s">
        <v>74</v>
      </c>
      <c r="AZ604" t="s">
        <v>74</v>
      </c>
      <c r="BA604" t="s">
        <v>74</v>
      </c>
      <c r="BB604" t="s">
        <v>74</v>
      </c>
      <c r="BC604" t="s">
        <v>74</v>
      </c>
      <c r="BD604" t="s">
        <v>9450</v>
      </c>
      <c r="BE604" t="s">
        <v>9451</v>
      </c>
      <c r="BF604" t="str">
        <f>HYPERLINK("http://dx.doi.org/10.1029/2004JD005749","http://dx.doi.org/10.1029/2004JD005749")</f>
        <v>http://dx.doi.org/10.1029/2004JD005749</v>
      </c>
      <c r="BG604" t="s">
        <v>74</v>
      </c>
      <c r="BH604" t="s">
        <v>74</v>
      </c>
      <c r="BI604">
        <v>24</v>
      </c>
      <c r="BJ604" t="s">
        <v>2033</v>
      </c>
      <c r="BK604" t="s">
        <v>98</v>
      </c>
      <c r="BL604" t="s">
        <v>2033</v>
      </c>
      <c r="BM604" t="s">
        <v>9452</v>
      </c>
      <c r="BN604" t="s">
        <v>74</v>
      </c>
      <c r="BO604" t="s">
        <v>1900</v>
      </c>
      <c r="BP604" t="s">
        <v>74</v>
      </c>
      <c r="BQ604" t="s">
        <v>74</v>
      </c>
      <c r="BR604" t="s">
        <v>101</v>
      </c>
      <c r="BS604" t="s">
        <v>9453</v>
      </c>
      <c r="BT604" t="str">
        <f>HYPERLINK("https%3A%2F%2Fwww.webofscience.com%2Fwos%2Fwoscc%2Ffull-record%2FWOS:000232828700002","View Full Record in Web of Science")</f>
        <v>View Full Record in Web of Science</v>
      </c>
    </row>
    <row r="605" spans="1:72" x14ac:dyDescent="0.15">
      <c r="A605" t="s">
        <v>72</v>
      </c>
      <c r="B605" t="s">
        <v>9454</v>
      </c>
      <c r="C605" t="s">
        <v>74</v>
      </c>
      <c r="D605" t="s">
        <v>74</v>
      </c>
      <c r="E605" t="s">
        <v>74</v>
      </c>
      <c r="F605" t="s">
        <v>9454</v>
      </c>
      <c r="G605" t="s">
        <v>74</v>
      </c>
      <c r="H605" t="s">
        <v>74</v>
      </c>
      <c r="I605" t="s">
        <v>9455</v>
      </c>
      <c r="J605" t="s">
        <v>7699</v>
      </c>
      <c r="K605" t="s">
        <v>74</v>
      </c>
      <c r="L605" t="s">
        <v>74</v>
      </c>
      <c r="M605" t="s">
        <v>77</v>
      </c>
      <c r="N605" t="s">
        <v>78</v>
      </c>
      <c r="O605" t="s">
        <v>74</v>
      </c>
      <c r="P605" t="s">
        <v>74</v>
      </c>
      <c r="Q605" t="s">
        <v>74</v>
      </c>
      <c r="R605" t="s">
        <v>74</v>
      </c>
      <c r="S605" t="s">
        <v>74</v>
      </c>
      <c r="T605" t="s">
        <v>9456</v>
      </c>
      <c r="U605" t="s">
        <v>9457</v>
      </c>
      <c r="V605" t="s">
        <v>9458</v>
      </c>
      <c r="W605" t="s">
        <v>9459</v>
      </c>
      <c r="X605" t="s">
        <v>9460</v>
      </c>
      <c r="Y605" t="s">
        <v>9461</v>
      </c>
      <c r="Z605" t="s">
        <v>9462</v>
      </c>
      <c r="AA605" t="s">
        <v>9463</v>
      </c>
      <c r="AB605" t="s">
        <v>9464</v>
      </c>
      <c r="AC605" t="s">
        <v>74</v>
      </c>
      <c r="AD605" t="s">
        <v>74</v>
      </c>
      <c r="AE605" t="s">
        <v>74</v>
      </c>
      <c r="AF605" t="s">
        <v>74</v>
      </c>
      <c r="AG605">
        <v>82</v>
      </c>
      <c r="AH605">
        <v>34</v>
      </c>
      <c r="AI605">
        <v>35</v>
      </c>
      <c r="AJ605">
        <v>0</v>
      </c>
      <c r="AK605">
        <v>17</v>
      </c>
      <c r="AL605" t="s">
        <v>2645</v>
      </c>
      <c r="AM605" t="s">
        <v>2646</v>
      </c>
      <c r="AN605" t="s">
        <v>2647</v>
      </c>
      <c r="AO605" t="s">
        <v>7709</v>
      </c>
      <c r="AP605" t="s">
        <v>7710</v>
      </c>
      <c r="AQ605" t="s">
        <v>74</v>
      </c>
      <c r="AR605" t="s">
        <v>7711</v>
      </c>
      <c r="AS605" t="s">
        <v>7712</v>
      </c>
      <c r="AT605" t="s">
        <v>9465</v>
      </c>
      <c r="AU605">
        <v>2005</v>
      </c>
      <c r="AV605">
        <v>40</v>
      </c>
      <c r="AW605">
        <v>3</v>
      </c>
      <c r="AX605" t="s">
        <v>74</v>
      </c>
      <c r="AY605" t="s">
        <v>74</v>
      </c>
      <c r="AZ605" t="s">
        <v>74</v>
      </c>
      <c r="BA605" t="s">
        <v>74</v>
      </c>
      <c r="BB605">
        <v>269</v>
      </c>
      <c r="BC605">
        <v>282</v>
      </c>
      <c r="BD605" t="s">
        <v>74</v>
      </c>
      <c r="BE605" t="s">
        <v>9466</v>
      </c>
      <c r="BF605" t="str">
        <f>HYPERLINK("http://dx.doi.org/10.3354/ame040269","http://dx.doi.org/10.3354/ame040269")</f>
        <v>http://dx.doi.org/10.3354/ame040269</v>
      </c>
      <c r="BG605" t="s">
        <v>74</v>
      </c>
      <c r="BH605" t="s">
        <v>74</v>
      </c>
      <c r="BI605">
        <v>14</v>
      </c>
      <c r="BJ605" t="s">
        <v>7715</v>
      </c>
      <c r="BK605" t="s">
        <v>98</v>
      </c>
      <c r="BL605" t="s">
        <v>7716</v>
      </c>
      <c r="BM605" t="s">
        <v>9467</v>
      </c>
      <c r="BN605" t="s">
        <v>74</v>
      </c>
      <c r="BO605" t="s">
        <v>2248</v>
      </c>
      <c r="BP605" t="s">
        <v>74</v>
      </c>
      <c r="BQ605" t="s">
        <v>74</v>
      </c>
      <c r="BR605" t="s">
        <v>101</v>
      </c>
      <c r="BS605" t="s">
        <v>9468</v>
      </c>
      <c r="BT605" t="str">
        <f>HYPERLINK("https%3A%2F%2Fwww.webofscience.com%2Fwos%2Fwoscc%2Ffull-record%2FWOS:000233591200009","View Full Record in Web of Science")</f>
        <v>View Full Record in Web of Science</v>
      </c>
    </row>
    <row r="606" spans="1:72" x14ac:dyDescent="0.15">
      <c r="A606" t="s">
        <v>72</v>
      </c>
      <c r="B606" t="s">
        <v>9469</v>
      </c>
      <c r="C606" t="s">
        <v>74</v>
      </c>
      <c r="D606" t="s">
        <v>74</v>
      </c>
      <c r="E606" t="s">
        <v>74</v>
      </c>
      <c r="F606" t="s">
        <v>9469</v>
      </c>
      <c r="G606" t="s">
        <v>74</v>
      </c>
      <c r="H606" t="s">
        <v>74</v>
      </c>
      <c r="I606" t="s">
        <v>9470</v>
      </c>
      <c r="J606" t="s">
        <v>7699</v>
      </c>
      <c r="K606" t="s">
        <v>74</v>
      </c>
      <c r="L606" t="s">
        <v>74</v>
      </c>
      <c r="M606" t="s">
        <v>77</v>
      </c>
      <c r="N606" t="s">
        <v>78</v>
      </c>
      <c r="O606" t="s">
        <v>74</v>
      </c>
      <c r="P606" t="s">
        <v>74</v>
      </c>
      <c r="Q606" t="s">
        <v>74</v>
      </c>
      <c r="R606" t="s">
        <v>74</v>
      </c>
      <c r="S606" t="s">
        <v>74</v>
      </c>
      <c r="T606" t="s">
        <v>9471</v>
      </c>
      <c r="U606" t="s">
        <v>9472</v>
      </c>
      <c r="V606" t="s">
        <v>9473</v>
      </c>
      <c r="W606" t="s">
        <v>9474</v>
      </c>
      <c r="X606" t="s">
        <v>9475</v>
      </c>
      <c r="Y606" t="s">
        <v>9476</v>
      </c>
      <c r="Z606" t="s">
        <v>9477</v>
      </c>
      <c r="AA606" t="s">
        <v>74</v>
      </c>
      <c r="AB606" t="s">
        <v>74</v>
      </c>
      <c r="AC606" t="s">
        <v>74</v>
      </c>
      <c r="AD606" t="s">
        <v>74</v>
      </c>
      <c r="AE606" t="s">
        <v>74</v>
      </c>
      <c r="AF606" t="s">
        <v>74</v>
      </c>
      <c r="AG606">
        <v>26</v>
      </c>
      <c r="AH606">
        <v>17</v>
      </c>
      <c r="AI606">
        <v>18</v>
      </c>
      <c r="AJ606">
        <v>0</v>
      </c>
      <c r="AK606">
        <v>17</v>
      </c>
      <c r="AL606" t="s">
        <v>2645</v>
      </c>
      <c r="AM606" t="s">
        <v>2646</v>
      </c>
      <c r="AN606" t="s">
        <v>2647</v>
      </c>
      <c r="AO606" t="s">
        <v>7709</v>
      </c>
      <c r="AP606" t="s">
        <v>7710</v>
      </c>
      <c r="AQ606" t="s">
        <v>74</v>
      </c>
      <c r="AR606" t="s">
        <v>7711</v>
      </c>
      <c r="AS606" t="s">
        <v>7712</v>
      </c>
      <c r="AT606" t="s">
        <v>9465</v>
      </c>
      <c r="AU606">
        <v>2005</v>
      </c>
      <c r="AV606">
        <v>40</v>
      </c>
      <c r="AW606">
        <v>3</v>
      </c>
      <c r="AX606" t="s">
        <v>74</v>
      </c>
      <c r="AY606" t="s">
        <v>74</v>
      </c>
      <c r="AZ606" t="s">
        <v>74</v>
      </c>
      <c r="BA606" t="s">
        <v>74</v>
      </c>
      <c r="BB606">
        <v>293</v>
      </c>
      <c r="BC606">
        <v>298</v>
      </c>
      <c r="BD606" t="s">
        <v>74</v>
      </c>
      <c r="BE606" t="s">
        <v>9478</v>
      </c>
      <c r="BF606" t="str">
        <f>HYPERLINK("http://dx.doi.org/10.3354/ame040293","http://dx.doi.org/10.3354/ame040293")</f>
        <v>http://dx.doi.org/10.3354/ame040293</v>
      </c>
      <c r="BG606" t="s">
        <v>74</v>
      </c>
      <c r="BH606" t="s">
        <v>74</v>
      </c>
      <c r="BI606">
        <v>6</v>
      </c>
      <c r="BJ606" t="s">
        <v>7715</v>
      </c>
      <c r="BK606" t="s">
        <v>98</v>
      </c>
      <c r="BL606" t="s">
        <v>7716</v>
      </c>
      <c r="BM606" t="s">
        <v>9467</v>
      </c>
      <c r="BN606" t="s">
        <v>74</v>
      </c>
      <c r="BO606" t="s">
        <v>1900</v>
      </c>
      <c r="BP606" t="s">
        <v>74</v>
      </c>
      <c r="BQ606" t="s">
        <v>74</v>
      </c>
      <c r="BR606" t="s">
        <v>101</v>
      </c>
      <c r="BS606" t="s">
        <v>9479</v>
      </c>
      <c r="BT606" t="str">
        <f>HYPERLINK("https%3A%2F%2Fwww.webofscience.com%2Fwos%2Fwoscc%2Ffull-record%2FWOS:000233591200011","View Full Record in Web of Science")</f>
        <v>View Full Record in Web of Science</v>
      </c>
    </row>
    <row r="607" spans="1:72" x14ac:dyDescent="0.15">
      <c r="A607" t="s">
        <v>72</v>
      </c>
      <c r="B607" t="s">
        <v>9480</v>
      </c>
      <c r="C607" t="s">
        <v>74</v>
      </c>
      <c r="D607" t="s">
        <v>74</v>
      </c>
      <c r="E607" t="s">
        <v>74</v>
      </c>
      <c r="F607" t="s">
        <v>9480</v>
      </c>
      <c r="G607" t="s">
        <v>74</v>
      </c>
      <c r="H607" t="s">
        <v>74</v>
      </c>
      <c r="I607" t="s">
        <v>9481</v>
      </c>
      <c r="J607" t="s">
        <v>7407</v>
      </c>
      <c r="K607" t="s">
        <v>74</v>
      </c>
      <c r="L607" t="s">
        <v>74</v>
      </c>
      <c r="M607" t="s">
        <v>77</v>
      </c>
      <c r="N607" t="s">
        <v>78</v>
      </c>
      <c r="O607" t="s">
        <v>74</v>
      </c>
      <c r="P607" t="s">
        <v>74</v>
      </c>
      <c r="Q607" t="s">
        <v>74</v>
      </c>
      <c r="R607" t="s">
        <v>74</v>
      </c>
      <c r="S607" t="s">
        <v>74</v>
      </c>
      <c r="T607" t="s">
        <v>74</v>
      </c>
      <c r="U607" t="s">
        <v>9482</v>
      </c>
      <c r="V607" t="s">
        <v>9483</v>
      </c>
      <c r="W607" t="s">
        <v>9484</v>
      </c>
      <c r="X607" t="s">
        <v>426</v>
      </c>
      <c r="Y607" t="s">
        <v>9485</v>
      </c>
      <c r="Z607" t="s">
        <v>9486</v>
      </c>
      <c r="AA607" t="s">
        <v>9487</v>
      </c>
      <c r="AB607" t="s">
        <v>9488</v>
      </c>
      <c r="AC607" t="s">
        <v>74</v>
      </c>
      <c r="AD607" t="s">
        <v>74</v>
      </c>
      <c r="AE607" t="s">
        <v>74</v>
      </c>
      <c r="AF607" t="s">
        <v>74</v>
      </c>
      <c r="AG607">
        <v>12</v>
      </c>
      <c r="AH607">
        <v>8</v>
      </c>
      <c r="AI607">
        <v>8</v>
      </c>
      <c r="AJ607">
        <v>0</v>
      </c>
      <c r="AK607">
        <v>3</v>
      </c>
      <c r="AL607" t="s">
        <v>431</v>
      </c>
      <c r="AM607" t="s">
        <v>432</v>
      </c>
      <c r="AN607" t="s">
        <v>433</v>
      </c>
      <c r="AO607" t="s">
        <v>7416</v>
      </c>
      <c r="AP607" t="s">
        <v>7417</v>
      </c>
      <c r="AQ607" t="s">
        <v>74</v>
      </c>
      <c r="AR607" t="s">
        <v>7418</v>
      </c>
      <c r="AS607" t="s">
        <v>7419</v>
      </c>
      <c r="AT607" t="s">
        <v>9465</v>
      </c>
      <c r="AU607">
        <v>2005</v>
      </c>
      <c r="AV607">
        <v>5</v>
      </c>
      <c r="AW607" t="s">
        <v>74</v>
      </c>
      <c r="AX607" t="s">
        <v>74</v>
      </c>
      <c r="AY607" t="s">
        <v>74</v>
      </c>
      <c r="AZ607" t="s">
        <v>74</v>
      </c>
      <c r="BA607" t="s">
        <v>74</v>
      </c>
      <c r="BB607">
        <v>2713</v>
      </c>
      <c r="BC607">
        <v>2727</v>
      </c>
      <c r="BD607" t="s">
        <v>74</v>
      </c>
      <c r="BE607" t="s">
        <v>9489</v>
      </c>
      <c r="BF607" t="str">
        <f>HYPERLINK("http://dx.doi.org/10.5194/acp-5-2713-2005","http://dx.doi.org/10.5194/acp-5-2713-2005")</f>
        <v>http://dx.doi.org/10.5194/acp-5-2713-2005</v>
      </c>
      <c r="BG607" t="s">
        <v>74</v>
      </c>
      <c r="BH607" t="s">
        <v>74</v>
      </c>
      <c r="BI607">
        <v>15</v>
      </c>
      <c r="BJ607" t="s">
        <v>6080</v>
      </c>
      <c r="BK607" t="s">
        <v>98</v>
      </c>
      <c r="BL607" t="s">
        <v>6081</v>
      </c>
      <c r="BM607" t="s">
        <v>9490</v>
      </c>
      <c r="BN607" t="s">
        <v>74</v>
      </c>
      <c r="BO607" t="s">
        <v>9491</v>
      </c>
      <c r="BP607" t="s">
        <v>74</v>
      </c>
      <c r="BQ607" t="s">
        <v>74</v>
      </c>
      <c r="BR607" t="s">
        <v>101</v>
      </c>
      <c r="BS607" t="s">
        <v>9492</v>
      </c>
      <c r="BT607" t="str">
        <f>HYPERLINK("https%3A%2F%2Fwww.webofscience.com%2Fwos%2Fwoscc%2Ffull-record%2FWOS:000232643900003","View Full Record in Web of Science")</f>
        <v>View Full Record in Web of Science</v>
      </c>
    </row>
    <row r="608" spans="1:72" x14ac:dyDescent="0.15">
      <c r="A608" t="s">
        <v>72</v>
      </c>
      <c r="B608" t="s">
        <v>9493</v>
      </c>
      <c r="C608" t="s">
        <v>74</v>
      </c>
      <c r="D608" t="s">
        <v>74</v>
      </c>
      <c r="E608" t="s">
        <v>74</v>
      </c>
      <c r="F608" t="s">
        <v>9494</v>
      </c>
      <c r="G608" t="s">
        <v>74</v>
      </c>
      <c r="H608" t="s">
        <v>74</v>
      </c>
      <c r="I608" t="s">
        <v>9495</v>
      </c>
      <c r="J608" t="s">
        <v>5359</v>
      </c>
      <c r="K608" t="s">
        <v>74</v>
      </c>
      <c r="L608" t="s">
        <v>74</v>
      </c>
      <c r="M608" t="s">
        <v>77</v>
      </c>
      <c r="N608" t="s">
        <v>78</v>
      </c>
      <c r="O608" t="s">
        <v>74</v>
      </c>
      <c r="P608" t="s">
        <v>74</v>
      </c>
      <c r="Q608" t="s">
        <v>74</v>
      </c>
      <c r="R608" t="s">
        <v>74</v>
      </c>
      <c r="S608" t="s">
        <v>74</v>
      </c>
      <c r="T608" t="s">
        <v>74</v>
      </c>
      <c r="U608" t="s">
        <v>9496</v>
      </c>
      <c r="V608" t="s">
        <v>9497</v>
      </c>
      <c r="W608" t="s">
        <v>9498</v>
      </c>
      <c r="X608" t="s">
        <v>9499</v>
      </c>
      <c r="Y608" t="s">
        <v>9500</v>
      </c>
      <c r="Z608" t="s">
        <v>4457</v>
      </c>
      <c r="AA608" t="s">
        <v>9501</v>
      </c>
      <c r="AB608" t="s">
        <v>9502</v>
      </c>
      <c r="AC608" t="s">
        <v>74</v>
      </c>
      <c r="AD608" t="s">
        <v>74</v>
      </c>
      <c r="AE608" t="s">
        <v>74</v>
      </c>
      <c r="AF608" t="s">
        <v>74</v>
      </c>
      <c r="AG608">
        <v>31</v>
      </c>
      <c r="AH608">
        <v>59</v>
      </c>
      <c r="AI608">
        <v>60</v>
      </c>
      <c r="AJ608">
        <v>1</v>
      </c>
      <c r="AK608">
        <v>24</v>
      </c>
      <c r="AL608" t="s">
        <v>5368</v>
      </c>
      <c r="AM608" t="s">
        <v>2541</v>
      </c>
      <c r="AN608" t="s">
        <v>5369</v>
      </c>
      <c r="AO608" t="s">
        <v>5370</v>
      </c>
      <c r="AP608" t="s">
        <v>74</v>
      </c>
      <c r="AQ608" t="s">
        <v>74</v>
      </c>
      <c r="AR608" t="s">
        <v>5371</v>
      </c>
      <c r="AS608" t="s">
        <v>5372</v>
      </c>
      <c r="AT608" t="s">
        <v>9503</v>
      </c>
      <c r="AU608">
        <v>2005</v>
      </c>
      <c r="AV608">
        <v>39</v>
      </c>
      <c r="AW608">
        <v>20</v>
      </c>
      <c r="AX608" t="s">
        <v>74</v>
      </c>
      <c r="AY608" t="s">
        <v>74</v>
      </c>
      <c r="AZ608" t="s">
        <v>74</v>
      </c>
      <c r="BA608" t="s">
        <v>74</v>
      </c>
      <c r="BB608">
        <v>7784</v>
      </c>
      <c r="BC608">
        <v>7789</v>
      </c>
      <c r="BD608" t="s">
        <v>74</v>
      </c>
      <c r="BE608" t="s">
        <v>9504</v>
      </c>
      <c r="BF608" t="str">
        <f>HYPERLINK("http://dx.doi.org/10.1021/es051090g","http://dx.doi.org/10.1021/es051090g")</f>
        <v>http://dx.doi.org/10.1021/es051090g</v>
      </c>
      <c r="BG608" t="s">
        <v>74</v>
      </c>
      <c r="BH608" t="s">
        <v>74</v>
      </c>
      <c r="BI608">
        <v>6</v>
      </c>
      <c r="BJ608" t="s">
        <v>5374</v>
      </c>
      <c r="BK608" t="s">
        <v>98</v>
      </c>
      <c r="BL608" t="s">
        <v>5375</v>
      </c>
      <c r="BM608" t="s">
        <v>9505</v>
      </c>
      <c r="BN608">
        <v>16295837</v>
      </c>
      <c r="BO608" t="s">
        <v>74</v>
      </c>
      <c r="BP608" t="s">
        <v>74</v>
      </c>
      <c r="BQ608" t="s">
        <v>74</v>
      </c>
      <c r="BR608" t="s">
        <v>101</v>
      </c>
      <c r="BS608" t="s">
        <v>9506</v>
      </c>
      <c r="BT608" t="str">
        <f>HYPERLINK("https%3A%2F%2Fwww.webofscience.com%2Fwos%2Fwoscc%2Ffull-record%2FWOS:000232758400008","View Full Record in Web of Science")</f>
        <v>View Full Record in Web of Science</v>
      </c>
    </row>
    <row r="609" spans="1:72" x14ac:dyDescent="0.15">
      <c r="A609" t="s">
        <v>72</v>
      </c>
      <c r="B609" t="s">
        <v>9507</v>
      </c>
      <c r="C609" t="s">
        <v>74</v>
      </c>
      <c r="D609" t="s">
        <v>74</v>
      </c>
      <c r="E609" t="s">
        <v>74</v>
      </c>
      <c r="F609" t="s">
        <v>9507</v>
      </c>
      <c r="G609" t="s">
        <v>74</v>
      </c>
      <c r="H609" t="s">
        <v>74</v>
      </c>
      <c r="I609" t="s">
        <v>9508</v>
      </c>
      <c r="J609" t="s">
        <v>9509</v>
      </c>
      <c r="K609" t="s">
        <v>74</v>
      </c>
      <c r="L609" t="s">
        <v>74</v>
      </c>
      <c r="M609" t="s">
        <v>77</v>
      </c>
      <c r="N609" t="s">
        <v>78</v>
      </c>
      <c r="O609" t="s">
        <v>74</v>
      </c>
      <c r="P609" t="s">
        <v>74</v>
      </c>
      <c r="Q609" t="s">
        <v>74</v>
      </c>
      <c r="R609" t="s">
        <v>74</v>
      </c>
      <c r="S609" t="s">
        <v>74</v>
      </c>
      <c r="T609" t="s">
        <v>9510</v>
      </c>
      <c r="U609" t="s">
        <v>9511</v>
      </c>
      <c r="V609" t="s">
        <v>9512</v>
      </c>
      <c r="W609" t="s">
        <v>9513</v>
      </c>
      <c r="X609" t="s">
        <v>9514</v>
      </c>
      <c r="Y609" t="s">
        <v>9515</v>
      </c>
      <c r="Z609" t="s">
        <v>9516</v>
      </c>
      <c r="AA609" t="s">
        <v>74</v>
      </c>
      <c r="AB609" t="s">
        <v>74</v>
      </c>
      <c r="AC609" t="s">
        <v>74</v>
      </c>
      <c r="AD609" t="s">
        <v>74</v>
      </c>
      <c r="AE609" t="s">
        <v>74</v>
      </c>
      <c r="AF609" t="s">
        <v>74</v>
      </c>
      <c r="AG609">
        <v>29</v>
      </c>
      <c r="AH609">
        <v>49</v>
      </c>
      <c r="AI609">
        <v>49</v>
      </c>
      <c r="AJ609">
        <v>0</v>
      </c>
      <c r="AK609">
        <v>5</v>
      </c>
      <c r="AL609" t="s">
        <v>1147</v>
      </c>
      <c r="AM609" t="s">
        <v>1148</v>
      </c>
      <c r="AN609" t="s">
        <v>1149</v>
      </c>
      <c r="AO609" t="s">
        <v>9517</v>
      </c>
      <c r="AP609" t="s">
        <v>74</v>
      </c>
      <c r="AQ609" t="s">
        <v>74</v>
      </c>
      <c r="AR609" t="s">
        <v>9518</v>
      </c>
      <c r="AS609" t="s">
        <v>9519</v>
      </c>
      <c r="AT609" t="s">
        <v>9503</v>
      </c>
      <c r="AU609">
        <v>2005</v>
      </c>
      <c r="AV609">
        <v>220</v>
      </c>
      <c r="AW609" t="s">
        <v>4815</v>
      </c>
      <c r="AX609" t="s">
        <v>74</v>
      </c>
      <c r="AY609" t="s">
        <v>74</v>
      </c>
      <c r="AZ609" t="s">
        <v>74</v>
      </c>
      <c r="BA609" t="s">
        <v>74</v>
      </c>
      <c r="BB609">
        <v>205</v>
      </c>
      <c r="BC609">
        <v>213</v>
      </c>
      <c r="BD609" t="s">
        <v>74</v>
      </c>
      <c r="BE609" t="s">
        <v>9520</v>
      </c>
      <c r="BF609" t="str">
        <f>HYPERLINK("http://dx.doi.org/10.1016/j.margeo.2005.06.031","http://dx.doi.org/10.1016/j.margeo.2005.06.031")</f>
        <v>http://dx.doi.org/10.1016/j.margeo.2005.06.031</v>
      </c>
      <c r="BG609" t="s">
        <v>74</v>
      </c>
      <c r="BH609" t="s">
        <v>74</v>
      </c>
      <c r="BI609">
        <v>9</v>
      </c>
      <c r="BJ609" t="s">
        <v>9521</v>
      </c>
      <c r="BK609" t="s">
        <v>98</v>
      </c>
      <c r="BL609" t="s">
        <v>9522</v>
      </c>
      <c r="BM609" t="s">
        <v>9523</v>
      </c>
      <c r="BN609" t="s">
        <v>74</v>
      </c>
      <c r="BO609" t="s">
        <v>74</v>
      </c>
      <c r="BP609" t="s">
        <v>74</v>
      </c>
      <c r="BQ609" t="s">
        <v>74</v>
      </c>
      <c r="BR609" t="s">
        <v>101</v>
      </c>
      <c r="BS609" t="s">
        <v>9524</v>
      </c>
      <c r="BT609" t="str">
        <f>HYPERLINK("https%3A%2F%2Fwww.webofscience.com%2Fwos%2Fwoscc%2Ffull-record%2FWOS:000232677900011","View Full Record in Web of Science")</f>
        <v>View Full Record in Web of Science</v>
      </c>
    </row>
    <row r="610" spans="1:72" x14ac:dyDescent="0.15">
      <c r="A610" t="s">
        <v>72</v>
      </c>
      <c r="B610" t="s">
        <v>9525</v>
      </c>
      <c r="C610" t="s">
        <v>74</v>
      </c>
      <c r="D610" t="s">
        <v>74</v>
      </c>
      <c r="E610" t="s">
        <v>74</v>
      </c>
      <c r="F610" t="s">
        <v>9525</v>
      </c>
      <c r="G610" t="s">
        <v>74</v>
      </c>
      <c r="H610" t="s">
        <v>74</v>
      </c>
      <c r="I610" t="s">
        <v>9526</v>
      </c>
      <c r="J610" t="s">
        <v>5134</v>
      </c>
      <c r="K610" t="s">
        <v>74</v>
      </c>
      <c r="L610" t="s">
        <v>74</v>
      </c>
      <c r="M610" t="s">
        <v>77</v>
      </c>
      <c r="N610" t="s">
        <v>78</v>
      </c>
      <c r="O610" t="s">
        <v>74</v>
      </c>
      <c r="P610" t="s">
        <v>74</v>
      </c>
      <c r="Q610" t="s">
        <v>74</v>
      </c>
      <c r="R610" t="s">
        <v>74</v>
      </c>
      <c r="S610" t="s">
        <v>74</v>
      </c>
      <c r="T610" t="s">
        <v>74</v>
      </c>
      <c r="U610" t="s">
        <v>9527</v>
      </c>
      <c r="V610" t="s">
        <v>9528</v>
      </c>
      <c r="W610" t="s">
        <v>9529</v>
      </c>
      <c r="X610" t="s">
        <v>9530</v>
      </c>
      <c r="Y610" t="s">
        <v>9531</v>
      </c>
      <c r="Z610" t="s">
        <v>9532</v>
      </c>
      <c r="AA610" t="s">
        <v>74</v>
      </c>
      <c r="AB610" t="s">
        <v>9533</v>
      </c>
      <c r="AC610" t="s">
        <v>74</v>
      </c>
      <c r="AD610" t="s">
        <v>74</v>
      </c>
      <c r="AE610" t="s">
        <v>74</v>
      </c>
      <c r="AF610" t="s">
        <v>74</v>
      </c>
      <c r="AG610">
        <v>20</v>
      </c>
      <c r="AH610">
        <v>45</v>
      </c>
      <c r="AI610">
        <v>57</v>
      </c>
      <c r="AJ610">
        <v>0</v>
      </c>
      <c r="AK610">
        <v>6</v>
      </c>
      <c r="AL610" t="s">
        <v>4487</v>
      </c>
      <c r="AM610" t="s">
        <v>2541</v>
      </c>
      <c r="AN610" t="s">
        <v>4488</v>
      </c>
      <c r="AO610" t="s">
        <v>5142</v>
      </c>
      <c r="AP610" t="s">
        <v>5143</v>
      </c>
      <c r="AQ610" t="s">
        <v>74</v>
      </c>
      <c r="AR610" t="s">
        <v>5144</v>
      </c>
      <c r="AS610" t="s">
        <v>5145</v>
      </c>
      <c r="AT610" t="s">
        <v>9534</v>
      </c>
      <c r="AU610">
        <v>2005</v>
      </c>
      <c r="AV610">
        <v>32</v>
      </c>
      <c r="AW610">
        <v>21</v>
      </c>
      <c r="AX610" t="s">
        <v>74</v>
      </c>
      <c r="AY610" t="s">
        <v>74</v>
      </c>
      <c r="AZ610" t="s">
        <v>74</v>
      </c>
      <c r="BA610" t="s">
        <v>74</v>
      </c>
      <c r="BB610" t="s">
        <v>74</v>
      </c>
      <c r="BC610" t="s">
        <v>74</v>
      </c>
      <c r="BD610" t="s">
        <v>9535</v>
      </c>
      <c r="BE610" t="s">
        <v>9536</v>
      </c>
      <c r="BF610" t="str">
        <f>HYPERLINK("http://dx.doi.org/10.1029/2005GL024365","http://dx.doi.org/10.1029/2005GL024365")</f>
        <v>http://dx.doi.org/10.1029/2005GL024365</v>
      </c>
      <c r="BG610" t="s">
        <v>74</v>
      </c>
      <c r="BH610" t="s">
        <v>74</v>
      </c>
      <c r="BI610">
        <v>5</v>
      </c>
      <c r="BJ610" t="s">
        <v>1129</v>
      </c>
      <c r="BK610" t="s">
        <v>98</v>
      </c>
      <c r="BL610" t="s">
        <v>1130</v>
      </c>
      <c r="BM610" t="s">
        <v>9537</v>
      </c>
      <c r="BN610" t="s">
        <v>74</v>
      </c>
      <c r="BO610" t="s">
        <v>74</v>
      </c>
      <c r="BP610" t="s">
        <v>74</v>
      </c>
      <c r="BQ610" t="s">
        <v>74</v>
      </c>
      <c r="BR610" t="s">
        <v>101</v>
      </c>
      <c r="BS610" t="s">
        <v>9538</v>
      </c>
      <c r="BT610" t="str">
        <f>HYPERLINK("https%3A%2F%2Fwww.webofscience.com%2Fwos%2Fwoscc%2Ffull-record%2FWOS:000232686200001","View Full Record in Web of Science")</f>
        <v>View Full Record in Web of Science</v>
      </c>
    </row>
    <row r="611" spans="1:72" x14ac:dyDescent="0.15">
      <c r="A611" t="s">
        <v>72</v>
      </c>
      <c r="B611" t="s">
        <v>9539</v>
      </c>
      <c r="C611" t="s">
        <v>74</v>
      </c>
      <c r="D611" t="s">
        <v>74</v>
      </c>
      <c r="E611" t="s">
        <v>74</v>
      </c>
      <c r="F611" t="s">
        <v>9539</v>
      </c>
      <c r="G611" t="s">
        <v>74</v>
      </c>
      <c r="H611" t="s">
        <v>74</v>
      </c>
      <c r="I611" t="s">
        <v>9540</v>
      </c>
      <c r="J611" t="s">
        <v>5134</v>
      </c>
      <c r="K611" t="s">
        <v>74</v>
      </c>
      <c r="L611" t="s">
        <v>74</v>
      </c>
      <c r="M611" t="s">
        <v>77</v>
      </c>
      <c r="N611" t="s">
        <v>78</v>
      </c>
      <c r="O611" t="s">
        <v>74</v>
      </c>
      <c r="P611" t="s">
        <v>74</v>
      </c>
      <c r="Q611" t="s">
        <v>74</v>
      </c>
      <c r="R611" t="s">
        <v>74</v>
      </c>
      <c r="S611" t="s">
        <v>74</v>
      </c>
      <c r="T611" t="s">
        <v>74</v>
      </c>
      <c r="U611" t="s">
        <v>9541</v>
      </c>
      <c r="V611" t="s">
        <v>9542</v>
      </c>
      <c r="W611" t="s">
        <v>9543</v>
      </c>
      <c r="X611" t="s">
        <v>9544</v>
      </c>
      <c r="Y611" t="s">
        <v>9545</v>
      </c>
      <c r="Z611" t="s">
        <v>9546</v>
      </c>
      <c r="AA611" t="s">
        <v>9547</v>
      </c>
      <c r="AB611" t="s">
        <v>9548</v>
      </c>
      <c r="AC611" t="s">
        <v>74</v>
      </c>
      <c r="AD611" t="s">
        <v>74</v>
      </c>
      <c r="AE611" t="s">
        <v>74</v>
      </c>
      <c r="AF611" t="s">
        <v>74</v>
      </c>
      <c r="AG611">
        <v>24</v>
      </c>
      <c r="AH611">
        <v>137</v>
      </c>
      <c r="AI611">
        <v>143</v>
      </c>
      <c r="AJ611">
        <v>0</v>
      </c>
      <c r="AK611">
        <v>6</v>
      </c>
      <c r="AL611" t="s">
        <v>4487</v>
      </c>
      <c r="AM611" t="s">
        <v>2541</v>
      </c>
      <c r="AN611" t="s">
        <v>4488</v>
      </c>
      <c r="AO611" t="s">
        <v>5142</v>
      </c>
      <c r="AP611" t="s">
        <v>5143</v>
      </c>
      <c r="AQ611" t="s">
        <v>74</v>
      </c>
      <c r="AR611" t="s">
        <v>5144</v>
      </c>
      <c r="AS611" t="s">
        <v>5145</v>
      </c>
      <c r="AT611" t="s">
        <v>9534</v>
      </c>
      <c r="AU611">
        <v>2005</v>
      </c>
      <c r="AV611">
        <v>32</v>
      </c>
      <c r="AW611">
        <v>19</v>
      </c>
      <c r="AX611" t="s">
        <v>74</v>
      </c>
      <c r="AY611" t="s">
        <v>74</v>
      </c>
      <c r="AZ611" t="s">
        <v>74</v>
      </c>
      <c r="BA611" t="s">
        <v>74</v>
      </c>
      <c r="BB611" t="s">
        <v>74</v>
      </c>
      <c r="BC611" t="s">
        <v>74</v>
      </c>
      <c r="BD611" t="s">
        <v>9549</v>
      </c>
      <c r="BE611" t="s">
        <v>9550</v>
      </c>
      <c r="BF611" t="str">
        <f>HYPERLINK("http://dx.doi.org/10.1029/2005GL023282","http://dx.doi.org/10.1029/2005GL023282")</f>
        <v>http://dx.doi.org/10.1029/2005GL023282</v>
      </c>
      <c r="BG611" t="s">
        <v>74</v>
      </c>
      <c r="BH611" t="s">
        <v>74</v>
      </c>
      <c r="BI611">
        <v>4</v>
      </c>
      <c r="BJ611" t="s">
        <v>1129</v>
      </c>
      <c r="BK611" t="s">
        <v>98</v>
      </c>
      <c r="BL611" t="s">
        <v>1130</v>
      </c>
      <c r="BM611" t="s">
        <v>9551</v>
      </c>
      <c r="BN611" t="s">
        <v>74</v>
      </c>
      <c r="BO611" t="s">
        <v>1900</v>
      </c>
      <c r="BP611" t="s">
        <v>74</v>
      </c>
      <c r="BQ611" t="s">
        <v>74</v>
      </c>
      <c r="BR611" t="s">
        <v>101</v>
      </c>
      <c r="BS611" t="s">
        <v>9552</v>
      </c>
      <c r="BT611" t="str">
        <f>HYPERLINK("https%3A%2F%2Fwww.webofscience.com%2Fwos%2Fwoscc%2Ffull-record%2FWOS:000232686000002","View Full Record in Web of Science")</f>
        <v>View Full Record in Web of Science</v>
      </c>
    </row>
    <row r="612" spans="1:72" x14ac:dyDescent="0.15">
      <c r="A612" t="s">
        <v>72</v>
      </c>
      <c r="B612" t="s">
        <v>9553</v>
      </c>
      <c r="C612" t="s">
        <v>74</v>
      </c>
      <c r="D612" t="s">
        <v>74</v>
      </c>
      <c r="E612" t="s">
        <v>74</v>
      </c>
      <c r="F612" t="s">
        <v>9553</v>
      </c>
      <c r="G612" t="s">
        <v>74</v>
      </c>
      <c r="H612" t="s">
        <v>74</v>
      </c>
      <c r="I612" t="s">
        <v>9554</v>
      </c>
      <c r="J612" t="s">
        <v>5134</v>
      </c>
      <c r="K612" t="s">
        <v>74</v>
      </c>
      <c r="L612" t="s">
        <v>74</v>
      </c>
      <c r="M612" t="s">
        <v>77</v>
      </c>
      <c r="N612" t="s">
        <v>78</v>
      </c>
      <c r="O612" t="s">
        <v>74</v>
      </c>
      <c r="P612" t="s">
        <v>74</v>
      </c>
      <c r="Q612" t="s">
        <v>74</v>
      </c>
      <c r="R612" t="s">
        <v>74</v>
      </c>
      <c r="S612" t="s">
        <v>74</v>
      </c>
      <c r="T612" t="s">
        <v>74</v>
      </c>
      <c r="U612" t="s">
        <v>9555</v>
      </c>
      <c r="V612" t="s">
        <v>9556</v>
      </c>
      <c r="W612" t="s">
        <v>9557</v>
      </c>
      <c r="X612" t="s">
        <v>9558</v>
      </c>
      <c r="Y612" t="s">
        <v>9559</v>
      </c>
      <c r="Z612" t="s">
        <v>9560</v>
      </c>
      <c r="AA612" t="s">
        <v>9561</v>
      </c>
      <c r="AB612" t="s">
        <v>9562</v>
      </c>
      <c r="AC612" t="s">
        <v>74</v>
      </c>
      <c r="AD612" t="s">
        <v>74</v>
      </c>
      <c r="AE612" t="s">
        <v>74</v>
      </c>
      <c r="AF612" t="s">
        <v>74</v>
      </c>
      <c r="AG612">
        <v>17</v>
      </c>
      <c r="AH612">
        <v>4</v>
      </c>
      <c r="AI612">
        <v>4</v>
      </c>
      <c r="AJ612">
        <v>1</v>
      </c>
      <c r="AK612">
        <v>3</v>
      </c>
      <c r="AL612" t="s">
        <v>4487</v>
      </c>
      <c r="AM612" t="s">
        <v>2541</v>
      </c>
      <c r="AN612" t="s">
        <v>4488</v>
      </c>
      <c r="AO612" t="s">
        <v>5142</v>
      </c>
      <c r="AP612" t="s">
        <v>5143</v>
      </c>
      <c r="AQ612" t="s">
        <v>74</v>
      </c>
      <c r="AR612" t="s">
        <v>5144</v>
      </c>
      <c r="AS612" t="s">
        <v>5145</v>
      </c>
      <c r="AT612" t="s">
        <v>9563</v>
      </c>
      <c r="AU612">
        <v>2005</v>
      </c>
      <c r="AV612">
        <v>32</v>
      </c>
      <c r="AW612">
        <v>19</v>
      </c>
      <c r="AX612" t="s">
        <v>74</v>
      </c>
      <c r="AY612" t="s">
        <v>74</v>
      </c>
      <c r="AZ612" t="s">
        <v>74</v>
      </c>
      <c r="BA612" t="s">
        <v>74</v>
      </c>
      <c r="BB612" t="s">
        <v>74</v>
      </c>
      <c r="BC612" t="s">
        <v>74</v>
      </c>
      <c r="BD612" t="s">
        <v>9564</v>
      </c>
      <c r="BE612" t="s">
        <v>9565</v>
      </c>
      <c r="BF612" t="str">
        <f>HYPERLINK("http://dx.doi.org/10.1029/2005GL023708","http://dx.doi.org/10.1029/2005GL023708")</f>
        <v>http://dx.doi.org/10.1029/2005GL023708</v>
      </c>
      <c r="BG612" t="s">
        <v>74</v>
      </c>
      <c r="BH612" t="s">
        <v>74</v>
      </c>
      <c r="BI612">
        <v>4</v>
      </c>
      <c r="BJ612" t="s">
        <v>1129</v>
      </c>
      <c r="BK612" t="s">
        <v>98</v>
      </c>
      <c r="BL612" t="s">
        <v>1130</v>
      </c>
      <c r="BM612" t="s">
        <v>9566</v>
      </c>
      <c r="BN612" t="s">
        <v>74</v>
      </c>
      <c r="BO612" t="s">
        <v>1900</v>
      </c>
      <c r="BP612" t="s">
        <v>74</v>
      </c>
      <c r="BQ612" t="s">
        <v>74</v>
      </c>
      <c r="BR612" t="s">
        <v>101</v>
      </c>
      <c r="BS612" t="s">
        <v>9567</v>
      </c>
      <c r="BT612" t="str">
        <f>HYPERLINK("https%3A%2F%2Fwww.webofscience.com%2Fwos%2Fwoscc%2Ffull-record%2FWOS:000232685900005","View Full Record in Web of Science")</f>
        <v>View Full Record in Web of Science</v>
      </c>
    </row>
    <row r="613" spans="1:72" x14ac:dyDescent="0.15">
      <c r="A613" t="s">
        <v>72</v>
      </c>
      <c r="B613" t="s">
        <v>9568</v>
      </c>
      <c r="C613" t="s">
        <v>74</v>
      </c>
      <c r="D613" t="s">
        <v>74</v>
      </c>
      <c r="E613" t="s">
        <v>74</v>
      </c>
      <c r="F613" t="s">
        <v>9568</v>
      </c>
      <c r="G613" t="s">
        <v>74</v>
      </c>
      <c r="H613" t="s">
        <v>74</v>
      </c>
      <c r="I613" t="s">
        <v>9569</v>
      </c>
      <c r="J613" t="s">
        <v>7721</v>
      </c>
      <c r="K613" t="s">
        <v>74</v>
      </c>
      <c r="L613" t="s">
        <v>74</v>
      </c>
      <c r="M613" t="s">
        <v>77</v>
      </c>
      <c r="N613" t="s">
        <v>5777</v>
      </c>
      <c r="O613" t="s">
        <v>74</v>
      </c>
      <c r="P613" t="s">
        <v>74</v>
      </c>
      <c r="Q613" t="s">
        <v>74</v>
      </c>
      <c r="R613" t="s">
        <v>74</v>
      </c>
      <c r="S613" t="s">
        <v>74</v>
      </c>
      <c r="T613" t="s">
        <v>74</v>
      </c>
      <c r="U613" t="s">
        <v>9570</v>
      </c>
      <c r="V613" t="s">
        <v>74</v>
      </c>
      <c r="W613" t="s">
        <v>801</v>
      </c>
      <c r="X613" t="s">
        <v>788</v>
      </c>
      <c r="Y613" t="s">
        <v>3055</v>
      </c>
      <c r="Z613" t="s">
        <v>9571</v>
      </c>
      <c r="AA613" t="s">
        <v>9572</v>
      </c>
      <c r="AB613" t="s">
        <v>9573</v>
      </c>
      <c r="AC613" t="s">
        <v>74</v>
      </c>
      <c r="AD613" t="s">
        <v>74</v>
      </c>
      <c r="AE613" t="s">
        <v>74</v>
      </c>
      <c r="AF613" t="s">
        <v>74</v>
      </c>
      <c r="AG613">
        <v>17</v>
      </c>
      <c r="AH613">
        <v>3</v>
      </c>
      <c r="AI613">
        <v>3</v>
      </c>
      <c r="AJ613">
        <v>0</v>
      </c>
      <c r="AK613">
        <v>1</v>
      </c>
      <c r="AL613" t="s">
        <v>4487</v>
      </c>
      <c r="AM613" t="s">
        <v>2541</v>
      </c>
      <c r="AN613" t="s">
        <v>4488</v>
      </c>
      <c r="AO613" t="s">
        <v>7728</v>
      </c>
      <c r="AP613" t="s">
        <v>7729</v>
      </c>
      <c r="AQ613" t="s">
        <v>74</v>
      </c>
      <c r="AR613" t="s">
        <v>7730</v>
      </c>
      <c r="AS613" t="s">
        <v>7731</v>
      </c>
      <c r="AT613" t="s">
        <v>9563</v>
      </c>
      <c r="AU613">
        <v>2005</v>
      </c>
      <c r="AV613">
        <v>110</v>
      </c>
      <c r="AW613" t="s">
        <v>9329</v>
      </c>
      <c r="AX613" t="s">
        <v>74</v>
      </c>
      <c r="AY613" t="s">
        <v>74</v>
      </c>
      <c r="AZ613" t="s">
        <v>74</v>
      </c>
      <c r="BA613" t="s">
        <v>74</v>
      </c>
      <c r="BB613" t="s">
        <v>74</v>
      </c>
      <c r="BC613" t="s">
        <v>74</v>
      </c>
      <c r="BD613" t="s">
        <v>9574</v>
      </c>
      <c r="BE613" t="s">
        <v>9575</v>
      </c>
      <c r="BF613" t="str">
        <f>HYPERLINK("http://dx.doi.org/10.1029/2004JA010973","http://dx.doi.org/10.1029/2004JA010973")</f>
        <v>http://dx.doi.org/10.1029/2004JA010973</v>
      </c>
      <c r="BG613" t="s">
        <v>74</v>
      </c>
      <c r="BH613" t="s">
        <v>74</v>
      </c>
      <c r="BI613">
        <v>2</v>
      </c>
      <c r="BJ613" t="s">
        <v>4376</v>
      </c>
      <c r="BK613" t="s">
        <v>98</v>
      </c>
      <c r="BL613" t="s">
        <v>4376</v>
      </c>
      <c r="BM613" t="s">
        <v>9576</v>
      </c>
      <c r="BN613" t="s">
        <v>74</v>
      </c>
      <c r="BO613" t="s">
        <v>74</v>
      </c>
      <c r="BP613" t="s">
        <v>74</v>
      </c>
      <c r="BQ613" t="s">
        <v>74</v>
      </c>
      <c r="BR613" t="s">
        <v>101</v>
      </c>
      <c r="BS613" t="s">
        <v>9577</v>
      </c>
      <c r="BT613" t="str">
        <f>HYPERLINK("https%3A%2F%2Fwww.webofscience.com%2Fwos%2Fwoscc%2Ffull-record%2FWOS:000232689500002","View Full Record in Web of Science")</f>
        <v>View Full Record in Web of Science</v>
      </c>
    </row>
    <row r="614" spans="1:72" x14ac:dyDescent="0.15">
      <c r="A614" t="s">
        <v>72</v>
      </c>
      <c r="B614" t="s">
        <v>9578</v>
      </c>
      <c r="C614" t="s">
        <v>74</v>
      </c>
      <c r="D614" t="s">
        <v>74</v>
      </c>
      <c r="E614" t="s">
        <v>74</v>
      </c>
      <c r="F614" t="s">
        <v>9578</v>
      </c>
      <c r="G614" t="s">
        <v>74</v>
      </c>
      <c r="H614" t="s">
        <v>74</v>
      </c>
      <c r="I614" t="s">
        <v>9579</v>
      </c>
      <c r="J614" t="s">
        <v>5063</v>
      </c>
      <c r="K614" t="s">
        <v>74</v>
      </c>
      <c r="L614" t="s">
        <v>74</v>
      </c>
      <c r="M614" t="s">
        <v>77</v>
      </c>
      <c r="N614" t="s">
        <v>78</v>
      </c>
      <c r="O614" t="s">
        <v>74</v>
      </c>
      <c r="P614" t="s">
        <v>74</v>
      </c>
      <c r="Q614" t="s">
        <v>74</v>
      </c>
      <c r="R614" t="s">
        <v>74</v>
      </c>
      <c r="S614" t="s">
        <v>74</v>
      </c>
      <c r="T614" t="s">
        <v>74</v>
      </c>
      <c r="U614" t="s">
        <v>9580</v>
      </c>
      <c r="V614" t="s">
        <v>9581</v>
      </c>
      <c r="W614" t="s">
        <v>9582</v>
      </c>
      <c r="X614" t="s">
        <v>9583</v>
      </c>
      <c r="Y614" t="s">
        <v>9584</v>
      </c>
      <c r="Z614" t="s">
        <v>9311</v>
      </c>
      <c r="AA614" t="s">
        <v>9585</v>
      </c>
      <c r="AB614" t="s">
        <v>9586</v>
      </c>
      <c r="AC614" t="s">
        <v>74</v>
      </c>
      <c r="AD614" t="s">
        <v>74</v>
      </c>
      <c r="AE614" t="s">
        <v>74</v>
      </c>
      <c r="AF614" t="s">
        <v>74</v>
      </c>
      <c r="AG614">
        <v>55</v>
      </c>
      <c r="AH614">
        <v>18</v>
      </c>
      <c r="AI614">
        <v>18</v>
      </c>
      <c r="AJ614">
        <v>0</v>
      </c>
      <c r="AK614">
        <v>10</v>
      </c>
      <c r="AL614" t="s">
        <v>4487</v>
      </c>
      <c r="AM614" t="s">
        <v>2541</v>
      </c>
      <c r="AN614" t="s">
        <v>4488</v>
      </c>
      <c r="AO614" t="s">
        <v>5072</v>
      </c>
      <c r="AP614" t="s">
        <v>5073</v>
      </c>
      <c r="AQ614" t="s">
        <v>74</v>
      </c>
      <c r="AR614" t="s">
        <v>5074</v>
      </c>
      <c r="AS614" t="s">
        <v>5075</v>
      </c>
      <c r="AT614" t="s">
        <v>9587</v>
      </c>
      <c r="AU614">
        <v>2005</v>
      </c>
      <c r="AV614">
        <v>110</v>
      </c>
      <c r="AW614" t="s">
        <v>9588</v>
      </c>
      <c r="AX614" t="s">
        <v>74</v>
      </c>
      <c r="AY614" t="s">
        <v>74</v>
      </c>
      <c r="AZ614" t="s">
        <v>74</v>
      </c>
      <c r="BA614" t="s">
        <v>74</v>
      </c>
      <c r="BB614" t="s">
        <v>74</v>
      </c>
      <c r="BC614" t="s">
        <v>74</v>
      </c>
      <c r="BD614" t="s">
        <v>9589</v>
      </c>
      <c r="BE614" t="s">
        <v>9590</v>
      </c>
      <c r="BF614" t="str">
        <f>HYPERLINK("http://dx.doi.org/10.1029/2004JD005651","http://dx.doi.org/10.1029/2004JD005651")</f>
        <v>http://dx.doi.org/10.1029/2004JD005651</v>
      </c>
      <c r="BG614" t="s">
        <v>74</v>
      </c>
      <c r="BH614" t="s">
        <v>74</v>
      </c>
      <c r="BI614">
        <v>12</v>
      </c>
      <c r="BJ614" t="s">
        <v>2033</v>
      </c>
      <c r="BK614" t="s">
        <v>98</v>
      </c>
      <c r="BL614" t="s">
        <v>2033</v>
      </c>
      <c r="BM614" t="s">
        <v>9591</v>
      </c>
      <c r="BN614" t="s">
        <v>74</v>
      </c>
      <c r="BO614" t="s">
        <v>1900</v>
      </c>
      <c r="BP614" t="s">
        <v>74</v>
      </c>
      <c r="BQ614" t="s">
        <v>74</v>
      </c>
      <c r="BR614" t="s">
        <v>101</v>
      </c>
      <c r="BS614" t="s">
        <v>9592</v>
      </c>
      <c r="BT614" t="str">
        <f>HYPERLINK("https%3A%2F%2Fwww.webofscience.com%2Fwos%2Fwoscc%2Ffull-record%2FWOS:000232687000002","View Full Record in Web of Science")</f>
        <v>View Full Record in Web of Science</v>
      </c>
    </row>
    <row r="615" spans="1:72" x14ac:dyDescent="0.15">
      <c r="A615" t="s">
        <v>72</v>
      </c>
      <c r="B615" t="s">
        <v>9593</v>
      </c>
      <c r="C615" t="s">
        <v>74</v>
      </c>
      <c r="D615" t="s">
        <v>74</v>
      </c>
      <c r="E615" t="s">
        <v>74</v>
      </c>
      <c r="F615" t="s">
        <v>9593</v>
      </c>
      <c r="G615" t="s">
        <v>74</v>
      </c>
      <c r="H615" t="s">
        <v>74</v>
      </c>
      <c r="I615" t="s">
        <v>9594</v>
      </c>
      <c r="J615" t="s">
        <v>5134</v>
      </c>
      <c r="K615" t="s">
        <v>74</v>
      </c>
      <c r="L615" t="s">
        <v>74</v>
      </c>
      <c r="M615" t="s">
        <v>77</v>
      </c>
      <c r="N615" t="s">
        <v>78</v>
      </c>
      <c r="O615" t="s">
        <v>74</v>
      </c>
      <c r="P615" t="s">
        <v>74</v>
      </c>
      <c r="Q615" t="s">
        <v>74</v>
      </c>
      <c r="R615" t="s">
        <v>74</v>
      </c>
      <c r="S615" t="s">
        <v>74</v>
      </c>
      <c r="T615" t="s">
        <v>74</v>
      </c>
      <c r="U615" t="s">
        <v>9595</v>
      </c>
      <c r="V615" t="s">
        <v>9596</v>
      </c>
      <c r="W615" t="s">
        <v>4482</v>
      </c>
      <c r="X615" t="s">
        <v>788</v>
      </c>
      <c r="Y615" t="s">
        <v>5407</v>
      </c>
      <c r="Z615" t="s">
        <v>9597</v>
      </c>
      <c r="AA615" t="s">
        <v>74</v>
      </c>
      <c r="AB615" t="s">
        <v>9598</v>
      </c>
      <c r="AC615" t="s">
        <v>74</v>
      </c>
      <c r="AD615" t="s">
        <v>74</v>
      </c>
      <c r="AE615" t="s">
        <v>74</v>
      </c>
      <c r="AF615" t="s">
        <v>74</v>
      </c>
      <c r="AG615">
        <v>20</v>
      </c>
      <c r="AH615">
        <v>647</v>
      </c>
      <c r="AI615">
        <v>719</v>
      </c>
      <c r="AJ615">
        <v>1</v>
      </c>
      <c r="AK615">
        <v>143</v>
      </c>
      <c r="AL615" t="s">
        <v>4487</v>
      </c>
      <c r="AM615" t="s">
        <v>2541</v>
      </c>
      <c r="AN615" t="s">
        <v>4488</v>
      </c>
      <c r="AO615" t="s">
        <v>5142</v>
      </c>
      <c r="AP615" t="s">
        <v>5143</v>
      </c>
      <c r="AQ615" t="s">
        <v>74</v>
      </c>
      <c r="AR615" t="s">
        <v>5144</v>
      </c>
      <c r="AS615" t="s">
        <v>5145</v>
      </c>
      <c r="AT615" t="s">
        <v>9599</v>
      </c>
      <c r="AU615">
        <v>2005</v>
      </c>
      <c r="AV615">
        <v>32</v>
      </c>
      <c r="AW615">
        <v>19</v>
      </c>
      <c r="AX615" t="s">
        <v>74</v>
      </c>
      <c r="AY615" t="s">
        <v>74</v>
      </c>
      <c r="AZ615" t="s">
        <v>74</v>
      </c>
      <c r="BA615" t="s">
        <v>74</v>
      </c>
      <c r="BB615" t="s">
        <v>74</v>
      </c>
      <c r="BC615" t="s">
        <v>74</v>
      </c>
      <c r="BD615" t="s">
        <v>9600</v>
      </c>
      <c r="BE615" t="s">
        <v>9601</v>
      </c>
      <c r="BF615" t="str">
        <f>HYPERLINK("http://dx.doi.org/10.1029/2005GL024042","http://dx.doi.org/10.1029/2005GL024042")</f>
        <v>http://dx.doi.org/10.1029/2005GL024042</v>
      </c>
      <c r="BG615" t="s">
        <v>74</v>
      </c>
      <c r="BH615" t="s">
        <v>74</v>
      </c>
      <c r="BI615">
        <v>5</v>
      </c>
      <c r="BJ615" t="s">
        <v>1129</v>
      </c>
      <c r="BK615" t="s">
        <v>98</v>
      </c>
      <c r="BL615" t="s">
        <v>1130</v>
      </c>
      <c r="BM615" t="s">
        <v>9602</v>
      </c>
      <c r="BN615" t="s">
        <v>74</v>
      </c>
      <c r="BO615" t="s">
        <v>1900</v>
      </c>
      <c r="BP615" t="s">
        <v>74</v>
      </c>
      <c r="BQ615" t="s">
        <v>74</v>
      </c>
      <c r="BR615" t="s">
        <v>101</v>
      </c>
      <c r="BS615" t="s">
        <v>9603</v>
      </c>
      <c r="BT615" t="str">
        <f>HYPERLINK("https%3A%2F%2Fwww.webofscience.com%2Fwos%2Fwoscc%2Ffull-record%2FWOS:000232552300005","View Full Record in Web of Science")</f>
        <v>View Full Record in Web of Science</v>
      </c>
    </row>
    <row r="616" spans="1:72" x14ac:dyDescent="0.15">
      <c r="A616" t="s">
        <v>72</v>
      </c>
      <c r="B616" t="s">
        <v>9604</v>
      </c>
      <c r="C616" t="s">
        <v>74</v>
      </c>
      <c r="D616" t="s">
        <v>74</v>
      </c>
      <c r="E616" t="s">
        <v>74</v>
      </c>
      <c r="F616" t="s">
        <v>9604</v>
      </c>
      <c r="G616" t="s">
        <v>74</v>
      </c>
      <c r="H616" t="s">
        <v>74</v>
      </c>
      <c r="I616" t="s">
        <v>9605</v>
      </c>
      <c r="J616" t="s">
        <v>5612</v>
      </c>
      <c r="K616" t="s">
        <v>74</v>
      </c>
      <c r="L616" t="s">
        <v>74</v>
      </c>
      <c r="M616" t="s">
        <v>77</v>
      </c>
      <c r="N616" t="s">
        <v>78</v>
      </c>
      <c r="O616" t="s">
        <v>74</v>
      </c>
      <c r="P616" t="s">
        <v>74</v>
      </c>
      <c r="Q616" t="s">
        <v>74</v>
      </c>
      <c r="R616" t="s">
        <v>74</v>
      </c>
      <c r="S616" t="s">
        <v>74</v>
      </c>
      <c r="T616" t="s">
        <v>9606</v>
      </c>
      <c r="U616" t="s">
        <v>9607</v>
      </c>
      <c r="V616" t="s">
        <v>9608</v>
      </c>
      <c r="W616" t="s">
        <v>9609</v>
      </c>
      <c r="X616" t="s">
        <v>9610</v>
      </c>
      <c r="Y616" t="s">
        <v>9611</v>
      </c>
      <c r="Z616" t="s">
        <v>9612</v>
      </c>
      <c r="AA616" t="s">
        <v>9613</v>
      </c>
      <c r="AB616" t="s">
        <v>9614</v>
      </c>
      <c r="AC616" t="s">
        <v>74</v>
      </c>
      <c r="AD616" t="s">
        <v>74</v>
      </c>
      <c r="AE616" t="s">
        <v>74</v>
      </c>
      <c r="AF616" t="s">
        <v>74</v>
      </c>
      <c r="AG616">
        <v>61</v>
      </c>
      <c r="AH616">
        <v>22</v>
      </c>
      <c r="AI616">
        <v>25</v>
      </c>
      <c r="AJ616">
        <v>0</v>
      </c>
      <c r="AK616">
        <v>7</v>
      </c>
      <c r="AL616" t="s">
        <v>5621</v>
      </c>
      <c r="AM616" t="s">
        <v>1055</v>
      </c>
      <c r="AN616" t="s">
        <v>5164</v>
      </c>
      <c r="AO616" t="s">
        <v>5622</v>
      </c>
      <c r="AP616" t="s">
        <v>5623</v>
      </c>
      <c r="AQ616" t="s">
        <v>74</v>
      </c>
      <c r="AR616" t="s">
        <v>5624</v>
      </c>
      <c r="AS616" t="s">
        <v>5625</v>
      </c>
      <c r="AT616" t="s">
        <v>9599</v>
      </c>
      <c r="AU616">
        <v>2005</v>
      </c>
      <c r="AV616">
        <v>272</v>
      </c>
      <c r="AW616">
        <v>1576</v>
      </c>
      <c r="AX616" t="s">
        <v>74</v>
      </c>
      <c r="AY616" t="s">
        <v>74</v>
      </c>
      <c r="AZ616" t="s">
        <v>74</v>
      </c>
      <c r="BA616" t="s">
        <v>74</v>
      </c>
      <c r="BB616">
        <v>2017</v>
      </c>
      <c r="BC616">
        <v>2022</v>
      </c>
      <c r="BD616" t="s">
        <v>74</v>
      </c>
      <c r="BE616" t="s">
        <v>9615</v>
      </c>
      <c r="BF616" t="str">
        <f>HYPERLINK("http://dx.doi.org/10.1098/rspb.2005.3176","http://dx.doi.org/10.1098/rspb.2005.3176")</f>
        <v>http://dx.doi.org/10.1098/rspb.2005.3176</v>
      </c>
      <c r="BG616" t="s">
        <v>74</v>
      </c>
      <c r="BH616" t="s">
        <v>74</v>
      </c>
      <c r="BI616">
        <v>6</v>
      </c>
      <c r="BJ616" t="s">
        <v>5170</v>
      </c>
      <c r="BK616" t="s">
        <v>98</v>
      </c>
      <c r="BL616" t="s">
        <v>5171</v>
      </c>
      <c r="BM616" t="s">
        <v>9616</v>
      </c>
      <c r="BN616">
        <v>16191611</v>
      </c>
      <c r="BO616" t="s">
        <v>722</v>
      </c>
      <c r="BP616" t="s">
        <v>74</v>
      </c>
      <c r="BQ616" t="s">
        <v>74</v>
      </c>
      <c r="BR616" t="s">
        <v>101</v>
      </c>
      <c r="BS616" t="s">
        <v>9617</v>
      </c>
      <c r="BT616" t="str">
        <f>HYPERLINK("https%3A%2F%2Fwww.webofscience.com%2Fwos%2Fwoscc%2Ffull-record%2FWOS:000232271000005","View Full Record in Web of Science")</f>
        <v>View Full Record in Web of Science</v>
      </c>
    </row>
    <row r="617" spans="1:72" x14ac:dyDescent="0.15">
      <c r="A617" t="s">
        <v>72</v>
      </c>
      <c r="B617" t="s">
        <v>9618</v>
      </c>
      <c r="C617" t="s">
        <v>74</v>
      </c>
      <c r="D617" t="s">
        <v>74</v>
      </c>
      <c r="E617" t="s">
        <v>74</v>
      </c>
      <c r="F617" t="s">
        <v>9618</v>
      </c>
      <c r="G617" t="s">
        <v>74</v>
      </c>
      <c r="H617" t="s">
        <v>74</v>
      </c>
      <c r="I617" t="s">
        <v>9619</v>
      </c>
      <c r="J617" t="s">
        <v>5612</v>
      </c>
      <c r="K617" t="s">
        <v>74</v>
      </c>
      <c r="L617" t="s">
        <v>74</v>
      </c>
      <c r="M617" t="s">
        <v>77</v>
      </c>
      <c r="N617" t="s">
        <v>78</v>
      </c>
      <c r="O617" t="s">
        <v>74</v>
      </c>
      <c r="P617" t="s">
        <v>74</v>
      </c>
      <c r="Q617" t="s">
        <v>74</v>
      </c>
      <c r="R617" t="s">
        <v>74</v>
      </c>
      <c r="S617" t="s">
        <v>74</v>
      </c>
      <c r="T617" t="s">
        <v>9620</v>
      </c>
      <c r="U617" t="s">
        <v>9621</v>
      </c>
      <c r="V617" t="s">
        <v>9622</v>
      </c>
      <c r="W617" t="s">
        <v>9623</v>
      </c>
      <c r="X617" t="s">
        <v>9624</v>
      </c>
      <c r="Y617" t="s">
        <v>3055</v>
      </c>
      <c r="Z617" t="s">
        <v>6479</v>
      </c>
      <c r="AA617" t="s">
        <v>9625</v>
      </c>
      <c r="AB617" t="s">
        <v>9626</v>
      </c>
      <c r="AC617" t="s">
        <v>74</v>
      </c>
      <c r="AD617" t="s">
        <v>74</v>
      </c>
      <c r="AE617" t="s">
        <v>74</v>
      </c>
      <c r="AF617" t="s">
        <v>74</v>
      </c>
      <c r="AG617">
        <v>43</v>
      </c>
      <c r="AH617">
        <v>93</v>
      </c>
      <c r="AI617">
        <v>101</v>
      </c>
      <c r="AJ617">
        <v>1</v>
      </c>
      <c r="AK617">
        <v>38</v>
      </c>
      <c r="AL617" t="s">
        <v>5621</v>
      </c>
      <c r="AM617" t="s">
        <v>1055</v>
      </c>
      <c r="AN617" t="s">
        <v>5164</v>
      </c>
      <c r="AO617" t="s">
        <v>5622</v>
      </c>
      <c r="AP617" t="s">
        <v>5623</v>
      </c>
      <c r="AQ617" t="s">
        <v>74</v>
      </c>
      <c r="AR617" t="s">
        <v>5624</v>
      </c>
      <c r="AS617" t="s">
        <v>5625</v>
      </c>
      <c r="AT617" t="s">
        <v>9599</v>
      </c>
      <c r="AU617">
        <v>2005</v>
      </c>
      <c r="AV617">
        <v>272</v>
      </c>
      <c r="AW617">
        <v>1576</v>
      </c>
      <c r="AX617" t="s">
        <v>74</v>
      </c>
      <c r="AY617" t="s">
        <v>74</v>
      </c>
      <c r="AZ617" t="s">
        <v>74</v>
      </c>
      <c r="BA617" t="s">
        <v>74</v>
      </c>
      <c r="BB617">
        <v>2051</v>
      </c>
      <c r="BC617">
        <v>2057</v>
      </c>
      <c r="BD617" t="s">
        <v>74</v>
      </c>
      <c r="BE617" t="s">
        <v>9627</v>
      </c>
      <c r="BF617" t="str">
        <f>HYPERLINK("http://dx.doi.org/10.1098/rspb.2005.3189","http://dx.doi.org/10.1098/rspb.2005.3189")</f>
        <v>http://dx.doi.org/10.1098/rspb.2005.3189</v>
      </c>
      <c r="BG617" t="s">
        <v>74</v>
      </c>
      <c r="BH617" t="s">
        <v>74</v>
      </c>
      <c r="BI617">
        <v>7</v>
      </c>
      <c r="BJ617" t="s">
        <v>5170</v>
      </c>
      <c r="BK617" t="s">
        <v>98</v>
      </c>
      <c r="BL617" t="s">
        <v>5171</v>
      </c>
      <c r="BM617" t="s">
        <v>9616</v>
      </c>
      <c r="BN617">
        <v>16191616</v>
      </c>
      <c r="BO617" t="s">
        <v>7548</v>
      </c>
      <c r="BP617" t="s">
        <v>74</v>
      </c>
      <c r="BQ617" t="s">
        <v>74</v>
      </c>
      <c r="BR617" t="s">
        <v>101</v>
      </c>
      <c r="BS617" t="s">
        <v>9628</v>
      </c>
      <c r="BT617" t="str">
        <f>HYPERLINK("https%3A%2F%2Fwww.webofscience.com%2Fwos%2Fwoscc%2Ffull-record%2FWOS:000232271000010","View Full Record in Web of Science")</f>
        <v>View Full Record in Web of Science</v>
      </c>
    </row>
    <row r="618" spans="1:72" x14ac:dyDescent="0.15">
      <c r="A618" t="s">
        <v>72</v>
      </c>
      <c r="B618" t="s">
        <v>9629</v>
      </c>
      <c r="C618" t="s">
        <v>74</v>
      </c>
      <c r="D618" t="s">
        <v>74</v>
      </c>
      <c r="E618" t="s">
        <v>74</v>
      </c>
      <c r="F618" t="s">
        <v>9629</v>
      </c>
      <c r="G618" t="s">
        <v>74</v>
      </c>
      <c r="H618" t="s">
        <v>74</v>
      </c>
      <c r="I618" t="s">
        <v>9630</v>
      </c>
      <c r="J618" t="s">
        <v>5134</v>
      </c>
      <c r="K618" t="s">
        <v>74</v>
      </c>
      <c r="L618" t="s">
        <v>74</v>
      </c>
      <c r="M618" t="s">
        <v>77</v>
      </c>
      <c r="N618" t="s">
        <v>78</v>
      </c>
      <c r="O618" t="s">
        <v>74</v>
      </c>
      <c r="P618" t="s">
        <v>74</v>
      </c>
      <c r="Q618" t="s">
        <v>74</v>
      </c>
      <c r="R618" t="s">
        <v>74</v>
      </c>
      <c r="S618" t="s">
        <v>74</v>
      </c>
      <c r="T618" t="s">
        <v>74</v>
      </c>
      <c r="U618" t="s">
        <v>9631</v>
      </c>
      <c r="V618" t="s">
        <v>9632</v>
      </c>
      <c r="W618" t="s">
        <v>9633</v>
      </c>
      <c r="X618" t="s">
        <v>9634</v>
      </c>
      <c r="Y618" t="s">
        <v>9635</v>
      </c>
      <c r="Z618" t="s">
        <v>9636</v>
      </c>
      <c r="AA618" t="s">
        <v>9637</v>
      </c>
      <c r="AB618" t="s">
        <v>9638</v>
      </c>
      <c r="AC618" t="s">
        <v>74</v>
      </c>
      <c r="AD618" t="s">
        <v>74</v>
      </c>
      <c r="AE618" t="s">
        <v>74</v>
      </c>
      <c r="AF618" t="s">
        <v>74</v>
      </c>
      <c r="AG618">
        <v>12</v>
      </c>
      <c r="AH618">
        <v>30</v>
      </c>
      <c r="AI618">
        <v>31</v>
      </c>
      <c r="AJ618">
        <v>1</v>
      </c>
      <c r="AK618">
        <v>13</v>
      </c>
      <c r="AL618" t="s">
        <v>4487</v>
      </c>
      <c r="AM618" t="s">
        <v>2541</v>
      </c>
      <c r="AN618" t="s">
        <v>4488</v>
      </c>
      <c r="AO618" t="s">
        <v>5142</v>
      </c>
      <c r="AP618" t="s">
        <v>5143</v>
      </c>
      <c r="AQ618" t="s">
        <v>74</v>
      </c>
      <c r="AR618" t="s">
        <v>5144</v>
      </c>
      <c r="AS618" t="s">
        <v>5145</v>
      </c>
      <c r="AT618" t="s">
        <v>9639</v>
      </c>
      <c r="AU618">
        <v>2005</v>
      </c>
      <c r="AV618">
        <v>32</v>
      </c>
      <c r="AW618">
        <v>19</v>
      </c>
      <c r="AX618" t="s">
        <v>74</v>
      </c>
      <c r="AY618" t="s">
        <v>74</v>
      </c>
      <c r="AZ618" t="s">
        <v>74</v>
      </c>
      <c r="BA618" t="s">
        <v>74</v>
      </c>
      <c r="BB618" t="s">
        <v>74</v>
      </c>
      <c r="BC618" t="s">
        <v>74</v>
      </c>
      <c r="BD618" t="s">
        <v>9640</v>
      </c>
      <c r="BE618" t="s">
        <v>9641</v>
      </c>
      <c r="BF618" t="str">
        <f>HYPERLINK("http://dx.doi.org/10.1029/2005GL023677","http://dx.doi.org/10.1029/2005GL023677")</f>
        <v>http://dx.doi.org/10.1029/2005GL023677</v>
      </c>
      <c r="BG618" t="s">
        <v>74</v>
      </c>
      <c r="BH618" t="s">
        <v>74</v>
      </c>
      <c r="BI618">
        <v>5</v>
      </c>
      <c r="BJ618" t="s">
        <v>1129</v>
      </c>
      <c r="BK618" t="s">
        <v>98</v>
      </c>
      <c r="BL618" t="s">
        <v>1130</v>
      </c>
      <c r="BM618" t="s">
        <v>9642</v>
      </c>
      <c r="BN618" t="s">
        <v>74</v>
      </c>
      <c r="BO618" t="s">
        <v>1900</v>
      </c>
      <c r="BP618" t="s">
        <v>74</v>
      </c>
      <c r="BQ618" t="s">
        <v>74</v>
      </c>
      <c r="BR618" t="s">
        <v>101</v>
      </c>
      <c r="BS618" t="s">
        <v>9643</v>
      </c>
      <c r="BT618" t="str">
        <f>HYPERLINK("https%3A%2F%2Fwww.webofscience.com%2Fwos%2Fwoscc%2Ffull-record%2FWOS:000232552100002","View Full Record in Web of Science")</f>
        <v>View Full Record in Web of Science</v>
      </c>
    </row>
    <row r="619" spans="1:72" x14ac:dyDescent="0.15">
      <c r="A619" t="s">
        <v>72</v>
      </c>
      <c r="B619" t="s">
        <v>9644</v>
      </c>
      <c r="C619" t="s">
        <v>74</v>
      </c>
      <c r="D619" t="s">
        <v>74</v>
      </c>
      <c r="E619" t="s">
        <v>74</v>
      </c>
      <c r="F619" t="s">
        <v>9644</v>
      </c>
      <c r="G619" t="s">
        <v>74</v>
      </c>
      <c r="H619" t="s">
        <v>74</v>
      </c>
      <c r="I619" t="s">
        <v>9645</v>
      </c>
      <c r="J619" t="s">
        <v>8831</v>
      </c>
      <c r="K619" t="s">
        <v>74</v>
      </c>
      <c r="L619" t="s">
        <v>74</v>
      </c>
      <c r="M619" t="s">
        <v>77</v>
      </c>
      <c r="N619" t="s">
        <v>78</v>
      </c>
      <c r="O619" t="s">
        <v>74</v>
      </c>
      <c r="P619" t="s">
        <v>74</v>
      </c>
      <c r="Q619" t="s">
        <v>74</v>
      </c>
      <c r="R619" t="s">
        <v>74</v>
      </c>
      <c r="S619" t="s">
        <v>74</v>
      </c>
      <c r="T619" t="s">
        <v>74</v>
      </c>
      <c r="U619" t="s">
        <v>9646</v>
      </c>
      <c r="V619" t="s">
        <v>9647</v>
      </c>
      <c r="W619" t="s">
        <v>9648</v>
      </c>
      <c r="X619" t="s">
        <v>9649</v>
      </c>
      <c r="Y619" t="s">
        <v>9650</v>
      </c>
      <c r="Z619" t="s">
        <v>9651</v>
      </c>
      <c r="AA619" t="s">
        <v>9652</v>
      </c>
      <c r="AB619" t="s">
        <v>9653</v>
      </c>
      <c r="AC619" t="s">
        <v>74</v>
      </c>
      <c r="AD619" t="s">
        <v>74</v>
      </c>
      <c r="AE619" t="s">
        <v>74</v>
      </c>
      <c r="AF619" t="s">
        <v>74</v>
      </c>
      <c r="AG619">
        <v>40</v>
      </c>
      <c r="AH619">
        <v>10</v>
      </c>
      <c r="AI619">
        <v>10</v>
      </c>
      <c r="AJ619">
        <v>0</v>
      </c>
      <c r="AK619">
        <v>6</v>
      </c>
      <c r="AL619" t="s">
        <v>4487</v>
      </c>
      <c r="AM619" t="s">
        <v>2541</v>
      </c>
      <c r="AN619" t="s">
        <v>4488</v>
      </c>
      <c r="AO619" t="s">
        <v>8840</v>
      </c>
      <c r="AP619" t="s">
        <v>8841</v>
      </c>
      <c r="AQ619" t="s">
        <v>74</v>
      </c>
      <c r="AR619" t="s">
        <v>8842</v>
      </c>
      <c r="AS619" t="s">
        <v>8843</v>
      </c>
      <c r="AT619" t="s">
        <v>9639</v>
      </c>
      <c r="AU619">
        <v>2005</v>
      </c>
      <c r="AV619">
        <v>110</v>
      </c>
      <c r="AW619" t="s">
        <v>8844</v>
      </c>
      <c r="AX619" t="s">
        <v>74</v>
      </c>
      <c r="AY619" t="s">
        <v>74</v>
      </c>
      <c r="AZ619" t="s">
        <v>74</v>
      </c>
      <c r="BA619" t="s">
        <v>74</v>
      </c>
      <c r="BB619" t="s">
        <v>74</v>
      </c>
      <c r="BC619" t="s">
        <v>74</v>
      </c>
      <c r="BD619" t="s">
        <v>9654</v>
      </c>
      <c r="BE619" t="s">
        <v>9655</v>
      </c>
      <c r="BF619" t="str">
        <f>HYPERLINK("http://dx.doi.org/10.1029/2005JF000289","http://dx.doi.org/10.1029/2005JF000289")</f>
        <v>http://dx.doi.org/10.1029/2005JF000289</v>
      </c>
      <c r="BG619" t="s">
        <v>74</v>
      </c>
      <c r="BH619" t="s">
        <v>74</v>
      </c>
      <c r="BI619">
        <v>9</v>
      </c>
      <c r="BJ619" t="s">
        <v>1129</v>
      </c>
      <c r="BK619" t="s">
        <v>98</v>
      </c>
      <c r="BL619" t="s">
        <v>1130</v>
      </c>
      <c r="BM619" t="s">
        <v>9656</v>
      </c>
      <c r="BN619" t="s">
        <v>74</v>
      </c>
      <c r="BO619" t="s">
        <v>74</v>
      </c>
      <c r="BP619" t="s">
        <v>74</v>
      </c>
      <c r="BQ619" t="s">
        <v>74</v>
      </c>
      <c r="BR619" t="s">
        <v>101</v>
      </c>
      <c r="BS619" t="s">
        <v>9657</v>
      </c>
      <c r="BT619" t="str">
        <f>HYPERLINK("https%3A%2F%2Fwww.webofscience.com%2Fwos%2Fwoscc%2Ffull-record%2FWOS:000232553900002","View Full Record in Web of Science")</f>
        <v>View Full Record in Web of Science</v>
      </c>
    </row>
    <row r="620" spans="1:72" x14ac:dyDescent="0.15">
      <c r="A620" t="s">
        <v>72</v>
      </c>
      <c r="B620" t="s">
        <v>9658</v>
      </c>
      <c r="C620" t="s">
        <v>74</v>
      </c>
      <c r="D620" t="s">
        <v>74</v>
      </c>
      <c r="E620" t="s">
        <v>74</v>
      </c>
      <c r="F620" t="s">
        <v>9658</v>
      </c>
      <c r="G620" t="s">
        <v>74</v>
      </c>
      <c r="H620" t="s">
        <v>74</v>
      </c>
      <c r="I620" t="s">
        <v>9659</v>
      </c>
      <c r="J620" t="s">
        <v>5251</v>
      </c>
      <c r="K620" t="s">
        <v>74</v>
      </c>
      <c r="L620" t="s">
        <v>74</v>
      </c>
      <c r="M620" t="s">
        <v>77</v>
      </c>
      <c r="N620" t="s">
        <v>78</v>
      </c>
      <c r="O620" t="s">
        <v>74</v>
      </c>
      <c r="P620" t="s">
        <v>74</v>
      </c>
      <c r="Q620" t="s">
        <v>74</v>
      </c>
      <c r="R620" t="s">
        <v>74</v>
      </c>
      <c r="S620" t="s">
        <v>74</v>
      </c>
      <c r="T620" t="s">
        <v>74</v>
      </c>
      <c r="U620" t="s">
        <v>9660</v>
      </c>
      <c r="V620" t="s">
        <v>9661</v>
      </c>
      <c r="W620" t="s">
        <v>9662</v>
      </c>
      <c r="X620" t="s">
        <v>9663</v>
      </c>
      <c r="Y620" t="s">
        <v>9664</v>
      </c>
      <c r="Z620" t="s">
        <v>9665</v>
      </c>
      <c r="AA620" t="s">
        <v>9666</v>
      </c>
      <c r="AB620" t="s">
        <v>9667</v>
      </c>
      <c r="AC620" t="s">
        <v>74</v>
      </c>
      <c r="AD620" t="s">
        <v>74</v>
      </c>
      <c r="AE620" t="s">
        <v>74</v>
      </c>
      <c r="AF620" t="s">
        <v>74</v>
      </c>
      <c r="AG620">
        <v>58</v>
      </c>
      <c r="AH620">
        <v>43</v>
      </c>
      <c r="AI620">
        <v>48</v>
      </c>
      <c r="AJ620">
        <v>0</v>
      </c>
      <c r="AK620">
        <v>17</v>
      </c>
      <c r="AL620" t="s">
        <v>4487</v>
      </c>
      <c r="AM620" t="s">
        <v>2541</v>
      </c>
      <c r="AN620" t="s">
        <v>4488</v>
      </c>
      <c r="AO620" t="s">
        <v>5260</v>
      </c>
      <c r="AP620" t="s">
        <v>5261</v>
      </c>
      <c r="AQ620" t="s">
        <v>74</v>
      </c>
      <c r="AR620" t="s">
        <v>5262</v>
      </c>
      <c r="AS620" t="s">
        <v>5263</v>
      </c>
      <c r="AT620" t="s">
        <v>9639</v>
      </c>
      <c r="AU620">
        <v>2005</v>
      </c>
      <c r="AV620">
        <v>110</v>
      </c>
      <c r="AW620" t="s">
        <v>9668</v>
      </c>
      <c r="AX620" t="s">
        <v>74</v>
      </c>
      <c r="AY620" t="s">
        <v>74</v>
      </c>
      <c r="AZ620" t="s">
        <v>74</v>
      </c>
      <c r="BA620" t="s">
        <v>74</v>
      </c>
      <c r="BB620" t="s">
        <v>74</v>
      </c>
      <c r="BC620" t="s">
        <v>74</v>
      </c>
      <c r="BD620" t="s">
        <v>9669</v>
      </c>
      <c r="BE620" t="s">
        <v>9670</v>
      </c>
      <c r="BF620" t="str">
        <f>HYPERLINK("http://dx.doi.org/10.1029/2004JC002793","http://dx.doi.org/10.1029/2004JC002793")</f>
        <v>http://dx.doi.org/10.1029/2004JC002793</v>
      </c>
      <c r="BG620" t="s">
        <v>74</v>
      </c>
      <c r="BH620" t="s">
        <v>74</v>
      </c>
      <c r="BI620">
        <v>16</v>
      </c>
      <c r="BJ620" t="s">
        <v>629</v>
      </c>
      <c r="BK620" t="s">
        <v>98</v>
      </c>
      <c r="BL620" t="s">
        <v>629</v>
      </c>
      <c r="BM620" t="s">
        <v>9671</v>
      </c>
      <c r="BN620" t="s">
        <v>74</v>
      </c>
      <c r="BO620" t="s">
        <v>74</v>
      </c>
      <c r="BP620" t="s">
        <v>74</v>
      </c>
      <c r="BQ620" t="s">
        <v>74</v>
      </c>
      <c r="BR620" t="s">
        <v>101</v>
      </c>
      <c r="BS620" t="s">
        <v>9672</v>
      </c>
      <c r="BT620" t="str">
        <f>HYPERLINK("https%3A%2F%2Fwww.webofscience.com%2Fwos%2Fwoscc%2Ffull-record%2FWOS:000232554300002","View Full Record in Web of Science")</f>
        <v>View Full Record in Web of Science</v>
      </c>
    </row>
    <row r="621" spans="1:72" x14ac:dyDescent="0.15">
      <c r="A621" t="s">
        <v>72</v>
      </c>
      <c r="B621" t="s">
        <v>9673</v>
      </c>
      <c r="C621" t="s">
        <v>74</v>
      </c>
      <c r="D621" t="s">
        <v>74</v>
      </c>
      <c r="E621" t="s">
        <v>74</v>
      </c>
      <c r="F621" t="s">
        <v>9673</v>
      </c>
      <c r="G621" t="s">
        <v>74</v>
      </c>
      <c r="H621" t="s">
        <v>74</v>
      </c>
      <c r="I621" t="s">
        <v>9674</v>
      </c>
      <c r="J621" t="s">
        <v>9675</v>
      </c>
      <c r="K621" t="s">
        <v>74</v>
      </c>
      <c r="L621" t="s">
        <v>74</v>
      </c>
      <c r="M621" t="s">
        <v>77</v>
      </c>
      <c r="N621" t="s">
        <v>78</v>
      </c>
      <c r="O621" t="s">
        <v>74</v>
      </c>
      <c r="P621" t="s">
        <v>74</v>
      </c>
      <c r="Q621" t="s">
        <v>74</v>
      </c>
      <c r="R621" t="s">
        <v>74</v>
      </c>
      <c r="S621" t="s">
        <v>74</v>
      </c>
      <c r="T621" t="s">
        <v>9676</v>
      </c>
      <c r="U621" t="s">
        <v>9677</v>
      </c>
      <c r="V621" t="s">
        <v>9678</v>
      </c>
      <c r="W621" t="s">
        <v>9679</v>
      </c>
      <c r="X621" t="s">
        <v>3148</v>
      </c>
      <c r="Y621" t="s">
        <v>9680</v>
      </c>
      <c r="Z621" t="s">
        <v>9681</v>
      </c>
      <c r="AA621" t="s">
        <v>9682</v>
      </c>
      <c r="AB621" t="s">
        <v>9683</v>
      </c>
      <c r="AC621" t="s">
        <v>74</v>
      </c>
      <c r="AD621" t="s">
        <v>74</v>
      </c>
      <c r="AE621" t="s">
        <v>74</v>
      </c>
      <c r="AF621" t="s">
        <v>74</v>
      </c>
      <c r="AG621">
        <v>46</v>
      </c>
      <c r="AH621">
        <v>36</v>
      </c>
      <c r="AI621">
        <v>38</v>
      </c>
      <c r="AJ621">
        <v>0</v>
      </c>
      <c r="AK621">
        <v>13</v>
      </c>
      <c r="AL621" t="s">
        <v>3283</v>
      </c>
      <c r="AM621" t="s">
        <v>1148</v>
      </c>
      <c r="AN621" t="s">
        <v>3284</v>
      </c>
      <c r="AO621" t="s">
        <v>9684</v>
      </c>
      <c r="AP621" t="s">
        <v>9685</v>
      </c>
      <c r="AQ621" t="s">
        <v>74</v>
      </c>
      <c r="AR621" t="s">
        <v>9686</v>
      </c>
      <c r="AS621" t="s">
        <v>9687</v>
      </c>
      <c r="AT621" t="s">
        <v>9688</v>
      </c>
      <c r="AU621">
        <v>2005</v>
      </c>
      <c r="AV621">
        <v>75</v>
      </c>
      <c r="AW621">
        <v>1</v>
      </c>
      <c r="AX621" t="s">
        <v>74</v>
      </c>
      <c r="AY621" t="s">
        <v>74</v>
      </c>
      <c r="AZ621" t="s">
        <v>74</v>
      </c>
      <c r="BA621" t="s">
        <v>74</v>
      </c>
      <c r="BB621">
        <v>43</v>
      </c>
      <c r="BC621">
        <v>52</v>
      </c>
      <c r="BD621" t="s">
        <v>74</v>
      </c>
      <c r="BE621" t="s">
        <v>9689</v>
      </c>
      <c r="BF621" t="str">
        <f>HYPERLINK("http://dx.doi.org/10.1016/j.aquatox.2005.07.003","http://dx.doi.org/10.1016/j.aquatox.2005.07.003")</f>
        <v>http://dx.doi.org/10.1016/j.aquatox.2005.07.003</v>
      </c>
      <c r="BG621" t="s">
        <v>74</v>
      </c>
      <c r="BH621" t="s">
        <v>74</v>
      </c>
      <c r="BI621">
        <v>10</v>
      </c>
      <c r="BJ621" t="s">
        <v>9690</v>
      </c>
      <c r="BK621" t="s">
        <v>98</v>
      </c>
      <c r="BL621" t="s">
        <v>9690</v>
      </c>
      <c r="BM621" t="s">
        <v>9691</v>
      </c>
      <c r="BN621">
        <v>16087253</v>
      </c>
      <c r="BO621" t="s">
        <v>74</v>
      </c>
      <c r="BP621" t="s">
        <v>74</v>
      </c>
      <c r="BQ621" t="s">
        <v>74</v>
      </c>
      <c r="BR621" t="s">
        <v>101</v>
      </c>
      <c r="BS621" t="s">
        <v>9692</v>
      </c>
      <c r="BT621" t="str">
        <f>HYPERLINK("https%3A%2F%2Fwww.webofscience.com%2Fwos%2Fwoscc%2Ffull-record%2FWOS:000232434300004","View Full Record in Web of Science")</f>
        <v>View Full Record in Web of Science</v>
      </c>
    </row>
    <row r="622" spans="1:72" x14ac:dyDescent="0.15">
      <c r="A622" t="s">
        <v>72</v>
      </c>
      <c r="B622" t="s">
        <v>9693</v>
      </c>
      <c r="C622" t="s">
        <v>74</v>
      </c>
      <c r="D622" t="s">
        <v>74</v>
      </c>
      <c r="E622" t="s">
        <v>74</v>
      </c>
      <c r="F622" t="s">
        <v>9693</v>
      </c>
      <c r="G622" t="s">
        <v>74</v>
      </c>
      <c r="H622" t="s">
        <v>74</v>
      </c>
      <c r="I622" t="s">
        <v>9694</v>
      </c>
      <c r="J622" t="s">
        <v>5112</v>
      </c>
      <c r="K622" t="s">
        <v>74</v>
      </c>
      <c r="L622" t="s">
        <v>74</v>
      </c>
      <c r="M622" t="s">
        <v>77</v>
      </c>
      <c r="N622" t="s">
        <v>78</v>
      </c>
      <c r="O622" t="s">
        <v>74</v>
      </c>
      <c r="P622" t="s">
        <v>74</v>
      </c>
      <c r="Q622" t="s">
        <v>74</v>
      </c>
      <c r="R622" t="s">
        <v>74</v>
      </c>
      <c r="S622" t="s">
        <v>74</v>
      </c>
      <c r="T622" t="s">
        <v>74</v>
      </c>
      <c r="U622" t="s">
        <v>9695</v>
      </c>
      <c r="V622" t="s">
        <v>9696</v>
      </c>
      <c r="W622" t="s">
        <v>9697</v>
      </c>
      <c r="X622" t="s">
        <v>426</v>
      </c>
      <c r="Y622" t="s">
        <v>9698</v>
      </c>
      <c r="Z622" t="s">
        <v>9699</v>
      </c>
      <c r="AA622" t="s">
        <v>9700</v>
      </c>
      <c r="AB622" t="s">
        <v>9701</v>
      </c>
      <c r="AC622" t="s">
        <v>74</v>
      </c>
      <c r="AD622" t="s">
        <v>74</v>
      </c>
      <c r="AE622" t="s">
        <v>74</v>
      </c>
      <c r="AF622" t="s">
        <v>74</v>
      </c>
      <c r="AG622">
        <v>53</v>
      </c>
      <c r="AH622">
        <v>42</v>
      </c>
      <c r="AI622">
        <v>42</v>
      </c>
      <c r="AJ622">
        <v>0</v>
      </c>
      <c r="AK622">
        <v>8</v>
      </c>
      <c r="AL622" t="s">
        <v>4487</v>
      </c>
      <c r="AM622" t="s">
        <v>2541</v>
      </c>
      <c r="AN622" t="s">
        <v>4488</v>
      </c>
      <c r="AO622" t="s">
        <v>5121</v>
      </c>
      <c r="AP622" t="s">
        <v>5122</v>
      </c>
      <c r="AQ622" t="s">
        <v>74</v>
      </c>
      <c r="AR622" t="s">
        <v>5123</v>
      </c>
      <c r="AS622" t="s">
        <v>5124</v>
      </c>
      <c r="AT622" t="s">
        <v>9688</v>
      </c>
      <c r="AU622">
        <v>2005</v>
      </c>
      <c r="AV622">
        <v>19</v>
      </c>
      <c r="AW622">
        <v>4</v>
      </c>
      <c r="AX622" t="s">
        <v>74</v>
      </c>
      <c r="AY622" t="s">
        <v>74</v>
      </c>
      <c r="AZ622" t="s">
        <v>74</v>
      </c>
      <c r="BA622" t="s">
        <v>74</v>
      </c>
      <c r="BB622" t="s">
        <v>74</v>
      </c>
      <c r="BC622" t="s">
        <v>74</v>
      </c>
      <c r="BD622" t="s">
        <v>9702</v>
      </c>
      <c r="BE622" t="s">
        <v>9703</v>
      </c>
      <c r="BF622" t="str">
        <f>HYPERLINK("http://dx.doi.org/10.1029/2005GB002465","http://dx.doi.org/10.1029/2005GB002465")</f>
        <v>http://dx.doi.org/10.1029/2005GB002465</v>
      </c>
      <c r="BG622" t="s">
        <v>74</v>
      </c>
      <c r="BH622" t="s">
        <v>74</v>
      </c>
      <c r="BI622">
        <v>16</v>
      </c>
      <c r="BJ622" t="s">
        <v>5128</v>
      </c>
      <c r="BK622" t="s">
        <v>98</v>
      </c>
      <c r="BL622" t="s">
        <v>5129</v>
      </c>
      <c r="BM622" t="s">
        <v>9704</v>
      </c>
      <c r="BN622" t="s">
        <v>74</v>
      </c>
      <c r="BO622" t="s">
        <v>74</v>
      </c>
      <c r="BP622" t="s">
        <v>74</v>
      </c>
      <c r="BQ622" t="s">
        <v>74</v>
      </c>
      <c r="BR622" t="s">
        <v>101</v>
      </c>
      <c r="BS622" t="s">
        <v>9705</v>
      </c>
      <c r="BT622" t="str">
        <f>HYPERLINK("https%3A%2F%2Fwww.webofscience.com%2Fwos%2Fwoscc%2Ffull-record%2FWOS:000232553000001","View Full Record in Web of Science")</f>
        <v>View Full Record in Web of Science</v>
      </c>
    </row>
    <row r="623" spans="1:72" x14ac:dyDescent="0.15">
      <c r="A623" t="s">
        <v>72</v>
      </c>
      <c r="B623" t="s">
        <v>9706</v>
      </c>
      <c r="C623" t="s">
        <v>74</v>
      </c>
      <c r="D623" t="s">
        <v>74</v>
      </c>
      <c r="E623" t="s">
        <v>74</v>
      </c>
      <c r="F623" t="s">
        <v>9706</v>
      </c>
      <c r="G623" t="s">
        <v>74</v>
      </c>
      <c r="H623" t="s">
        <v>74</v>
      </c>
      <c r="I623" t="s">
        <v>9707</v>
      </c>
      <c r="J623" t="s">
        <v>5063</v>
      </c>
      <c r="K623" t="s">
        <v>74</v>
      </c>
      <c r="L623" t="s">
        <v>74</v>
      </c>
      <c r="M623" t="s">
        <v>77</v>
      </c>
      <c r="N623" t="s">
        <v>78</v>
      </c>
      <c r="O623" t="s">
        <v>74</v>
      </c>
      <c r="P623" t="s">
        <v>74</v>
      </c>
      <c r="Q623" t="s">
        <v>74</v>
      </c>
      <c r="R623" t="s">
        <v>74</v>
      </c>
      <c r="S623" t="s">
        <v>74</v>
      </c>
      <c r="T623" t="s">
        <v>74</v>
      </c>
      <c r="U623" t="s">
        <v>9708</v>
      </c>
      <c r="V623" t="s">
        <v>9709</v>
      </c>
      <c r="W623" t="s">
        <v>9710</v>
      </c>
      <c r="X623" t="s">
        <v>9711</v>
      </c>
      <c r="Y623" t="s">
        <v>9712</v>
      </c>
      <c r="Z623" t="s">
        <v>9713</v>
      </c>
      <c r="AA623" t="s">
        <v>9714</v>
      </c>
      <c r="AB623" t="s">
        <v>9715</v>
      </c>
      <c r="AC623" t="s">
        <v>74</v>
      </c>
      <c r="AD623" t="s">
        <v>74</v>
      </c>
      <c r="AE623" t="s">
        <v>74</v>
      </c>
      <c r="AF623" t="s">
        <v>74</v>
      </c>
      <c r="AG623">
        <v>33</v>
      </c>
      <c r="AH623">
        <v>104</v>
      </c>
      <c r="AI623">
        <v>112</v>
      </c>
      <c r="AJ623">
        <v>3</v>
      </c>
      <c r="AK623">
        <v>31</v>
      </c>
      <c r="AL623" t="s">
        <v>4487</v>
      </c>
      <c r="AM623" t="s">
        <v>2541</v>
      </c>
      <c r="AN623" t="s">
        <v>4488</v>
      </c>
      <c r="AO623" t="s">
        <v>5072</v>
      </c>
      <c r="AP623" t="s">
        <v>5073</v>
      </c>
      <c r="AQ623" t="s">
        <v>74</v>
      </c>
      <c r="AR623" t="s">
        <v>5074</v>
      </c>
      <c r="AS623" t="s">
        <v>5075</v>
      </c>
      <c r="AT623" t="s">
        <v>9688</v>
      </c>
      <c r="AU623">
        <v>2005</v>
      </c>
      <c r="AV623">
        <v>110</v>
      </c>
      <c r="AW623" t="s">
        <v>9588</v>
      </c>
      <c r="AX623" t="s">
        <v>74</v>
      </c>
      <c r="AY623" t="s">
        <v>74</v>
      </c>
      <c r="AZ623" t="s">
        <v>74</v>
      </c>
      <c r="BA623" t="s">
        <v>74</v>
      </c>
      <c r="BB623" t="s">
        <v>74</v>
      </c>
      <c r="BC623" t="s">
        <v>74</v>
      </c>
      <c r="BD623" t="s">
        <v>9716</v>
      </c>
      <c r="BE623" t="s">
        <v>9717</v>
      </c>
      <c r="BF623" t="str">
        <f>HYPERLINK("http://dx.doi.org/10.1029/2005JD005766","http://dx.doi.org/10.1029/2005JD005766")</f>
        <v>http://dx.doi.org/10.1029/2005JD005766</v>
      </c>
      <c r="BG623" t="s">
        <v>74</v>
      </c>
      <c r="BH623" t="s">
        <v>74</v>
      </c>
      <c r="BI623">
        <v>11</v>
      </c>
      <c r="BJ623" t="s">
        <v>2033</v>
      </c>
      <c r="BK623" t="s">
        <v>98</v>
      </c>
      <c r="BL623" t="s">
        <v>2033</v>
      </c>
      <c r="BM623" t="s">
        <v>9718</v>
      </c>
      <c r="BN623" t="s">
        <v>74</v>
      </c>
      <c r="BO623" t="s">
        <v>1900</v>
      </c>
      <c r="BP623" t="s">
        <v>74</v>
      </c>
      <c r="BQ623" t="s">
        <v>74</v>
      </c>
      <c r="BR623" t="s">
        <v>101</v>
      </c>
      <c r="BS623" t="s">
        <v>9719</v>
      </c>
      <c r="BT623" t="str">
        <f>HYPERLINK("https%3A%2F%2Fwww.webofscience.com%2Fwos%2Fwoscc%2Ffull-record%2FWOS:000232553400002","View Full Record in Web of Science")</f>
        <v>View Full Record in Web of Science</v>
      </c>
    </row>
    <row r="624" spans="1:72" x14ac:dyDescent="0.15">
      <c r="A624" t="s">
        <v>72</v>
      </c>
      <c r="B624" t="s">
        <v>9720</v>
      </c>
      <c r="C624" t="s">
        <v>74</v>
      </c>
      <c r="D624" t="s">
        <v>74</v>
      </c>
      <c r="E624" t="s">
        <v>74</v>
      </c>
      <c r="F624" t="s">
        <v>9720</v>
      </c>
      <c r="G624" t="s">
        <v>74</v>
      </c>
      <c r="H624" t="s">
        <v>74</v>
      </c>
      <c r="I624" t="s">
        <v>9721</v>
      </c>
      <c r="J624" t="s">
        <v>7457</v>
      </c>
      <c r="K624" t="s">
        <v>74</v>
      </c>
      <c r="L624" t="s">
        <v>74</v>
      </c>
      <c r="M624" t="s">
        <v>77</v>
      </c>
      <c r="N624" t="s">
        <v>78</v>
      </c>
      <c r="O624" t="s">
        <v>74</v>
      </c>
      <c r="P624" t="s">
        <v>74</v>
      </c>
      <c r="Q624" t="s">
        <v>74</v>
      </c>
      <c r="R624" t="s">
        <v>74</v>
      </c>
      <c r="S624" t="s">
        <v>74</v>
      </c>
      <c r="T624" t="s">
        <v>9722</v>
      </c>
      <c r="U624" t="s">
        <v>74</v>
      </c>
      <c r="V624" t="s">
        <v>9723</v>
      </c>
      <c r="W624" t="s">
        <v>801</v>
      </c>
      <c r="X624" t="s">
        <v>788</v>
      </c>
      <c r="Y624" t="s">
        <v>3055</v>
      </c>
      <c r="Z624" t="s">
        <v>9724</v>
      </c>
      <c r="AA624" t="s">
        <v>9725</v>
      </c>
      <c r="AB624" t="s">
        <v>9726</v>
      </c>
      <c r="AC624" t="s">
        <v>74</v>
      </c>
      <c r="AD624" t="s">
        <v>74</v>
      </c>
      <c r="AE624" t="s">
        <v>74</v>
      </c>
      <c r="AF624" t="s">
        <v>74</v>
      </c>
      <c r="AG624">
        <v>26</v>
      </c>
      <c r="AH624">
        <v>0</v>
      </c>
      <c r="AI624">
        <v>1</v>
      </c>
      <c r="AJ624">
        <v>0</v>
      </c>
      <c r="AK624">
        <v>3</v>
      </c>
      <c r="AL624" t="s">
        <v>7466</v>
      </c>
      <c r="AM624" t="s">
        <v>7467</v>
      </c>
      <c r="AN624" t="s">
        <v>7468</v>
      </c>
      <c r="AO624" t="s">
        <v>7469</v>
      </c>
      <c r="AP624" t="s">
        <v>7470</v>
      </c>
      <c r="AQ624" t="s">
        <v>74</v>
      </c>
      <c r="AR624" t="s">
        <v>7457</v>
      </c>
      <c r="AS624" t="s">
        <v>7471</v>
      </c>
      <c r="AT624" t="s">
        <v>9727</v>
      </c>
      <c r="AU624">
        <v>2005</v>
      </c>
      <c r="AV624" t="s">
        <v>74</v>
      </c>
      <c r="AW624">
        <v>1058</v>
      </c>
      <c r="AX624" t="s">
        <v>74</v>
      </c>
      <c r="AY624" t="s">
        <v>74</v>
      </c>
      <c r="AZ624" t="s">
        <v>74</v>
      </c>
      <c r="BA624" t="s">
        <v>74</v>
      </c>
      <c r="BB624">
        <v>43</v>
      </c>
      <c r="BC624">
        <v>49</v>
      </c>
      <c r="BD624" t="s">
        <v>74</v>
      </c>
      <c r="BE624" t="s">
        <v>74</v>
      </c>
      <c r="BF624" t="s">
        <v>74</v>
      </c>
      <c r="BG624" t="s">
        <v>74</v>
      </c>
      <c r="BH624" t="s">
        <v>74</v>
      </c>
      <c r="BI624">
        <v>7</v>
      </c>
      <c r="BJ624" t="s">
        <v>532</v>
      </c>
      <c r="BK624" t="s">
        <v>98</v>
      </c>
      <c r="BL624" t="s">
        <v>532</v>
      </c>
      <c r="BM624" t="s">
        <v>9728</v>
      </c>
      <c r="BN624" t="s">
        <v>74</v>
      </c>
      <c r="BO624" t="s">
        <v>74</v>
      </c>
      <c r="BP624" t="s">
        <v>74</v>
      </c>
      <c r="BQ624" t="s">
        <v>74</v>
      </c>
      <c r="BR624" t="s">
        <v>101</v>
      </c>
      <c r="BS624" t="s">
        <v>9729</v>
      </c>
      <c r="BT624" t="str">
        <f>HYPERLINK("https%3A%2F%2Fwww.webofscience.com%2Fwos%2Fwoscc%2Ffull-record%2FWOS:000232314700003","View Full Record in Web of Science")</f>
        <v>View Full Record in Web of Science</v>
      </c>
    </row>
    <row r="625" spans="1:72" x14ac:dyDescent="0.15">
      <c r="A625" t="s">
        <v>72</v>
      </c>
      <c r="B625" t="s">
        <v>9730</v>
      </c>
      <c r="C625" t="s">
        <v>74</v>
      </c>
      <c r="D625" t="s">
        <v>74</v>
      </c>
      <c r="E625" t="s">
        <v>74</v>
      </c>
      <c r="F625" t="s">
        <v>9730</v>
      </c>
      <c r="G625" t="s">
        <v>74</v>
      </c>
      <c r="H625" t="s">
        <v>74</v>
      </c>
      <c r="I625" t="s">
        <v>9731</v>
      </c>
      <c r="J625" t="s">
        <v>9732</v>
      </c>
      <c r="K625" t="s">
        <v>74</v>
      </c>
      <c r="L625" t="s">
        <v>74</v>
      </c>
      <c r="M625" t="s">
        <v>77</v>
      </c>
      <c r="N625" t="s">
        <v>78</v>
      </c>
      <c r="O625" t="s">
        <v>74</v>
      </c>
      <c r="P625" t="s">
        <v>74</v>
      </c>
      <c r="Q625" t="s">
        <v>74</v>
      </c>
      <c r="R625" t="s">
        <v>74</v>
      </c>
      <c r="S625" t="s">
        <v>74</v>
      </c>
      <c r="T625" t="s">
        <v>9733</v>
      </c>
      <c r="U625" t="s">
        <v>9734</v>
      </c>
      <c r="V625" t="s">
        <v>9735</v>
      </c>
      <c r="W625" t="s">
        <v>9736</v>
      </c>
      <c r="X625" t="s">
        <v>9737</v>
      </c>
      <c r="Y625" t="s">
        <v>9738</v>
      </c>
      <c r="Z625" t="s">
        <v>9739</v>
      </c>
      <c r="AA625" t="s">
        <v>9740</v>
      </c>
      <c r="AB625" t="s">
        <v>9741</v>
      </c>
      <c r="AC625" t="s">
        <v>74</v>
      </c>
      <c r="AD625" t="s">
        <v>74</v>
      </c>
      <c r="AE625" t="s">
        <v>74</v>
      </c>
      <c r="AF625" t="s">
        <v>74</v>
      </c>
      <c r="AG625">
        <v>27</v>
      </c>
      <c r="AH625">
        <v>4</v>
      </c>
      <c r="AI625">
        <v>4</v>
      </c>
      <c r="AJ625">
        <v>0</v>
      </c>
      <c r="AK625">
        <v>1</v>
      </c>
      <c r="AL625" t="s">
        <v>8291</v>
      </c>
      <c r="AM625" t="s">
        <v>8292</v>
      </c>
      <c r="AN625" t="s">
        <v>8293</v>
      </c>
      <c r="AO625" t="s">
        <v>9742</v>
      </c>
      <c r="AP625" t="s">
        <v>9743</v>
      </c>
      <c r="AQ625" t="s">
        <v>74</v>
      </c>
      <c r="AR625" t="s">
        <v>9744</v>
      </c>
      <c r="AS625" t="s">
        <v>9745</v>
      </c>
      <c r="AT625" t="s">
        <v>9746</v>
      </c>
      <c r="AU625">
        <v>2005</v>
      </c>
      <c r="AV625">
        <v>130</v>
      </c>
      <c r="AW625">
        <v>4</v>
      </c>
      <c r="AX625" t="s">
        <v>74</v>
      </c>
      <c r="AY625" t="s">
        <v>74</v>
      </c>
      <c r="AZ625" t="s">
        <v>74</v>
      </c>
      <c r="BA625" t="s">
        <v>74</v>
      </c>
      <c r="BB625">
        <v>1635</v>
      </c>
      <c r="BC625">
        <v>1639</v>
      </c>
      <c r="BD625" t="s">
        <v>74</v>
      </c>
      <c r="BE625" t="s">
        <v>9747</v>
      </c>
      <c r="BF625" t="str">
        <f>HYPERLINK("http://dx.doi.org/10.1086/432933","http://dx.doi.org/10.1086/432933")</f>
        <v>http://dx.doi.org/10.1086/432933</v>
      </c>
      <c r="BG625" t="s">
        <v>74</v>
      </c>
      <c r="BH625" t="s">
        <v>74</v>
      </c>
      <c r="BI625">
        <v>5</v>
      </c>
      <c r="BJ625" t="s">
        <v>4376</v>
      </c>
      <c r="BK625" t="s">
        <v>98</v>
      </c>
      <c r="BL625" t="s">
        <v>4376</v>
      </c>
      <c r="BM625" t="s">
        <v>9748</v>
      </c>
      <c r="BN625" t="s">
        <v>74</v>
      </c>
      <c r="BO625" t="s">
        <v>1900</v>
      </c>
      <c r="BP625" t="s">
        <v>74</v>
      </c>
      <c r="BQ625" t="s">
        <v>74</v>
      </c>
      <c r="BR625" t="s">
        <v>101</v>
      </c>
      <c r="BS625" t="s">
        <v>9749</v>
      </c>
      <c r="BT625" t="str">
        <f>HYPERLINK("https%3A%2F%2Fwww.webofscience.com%2Fwos%2Fwoscc%2Ffull-record%2FWOS:000232270200021","View Full Record in Web of Science")</f>
        <v>View Full Record in Web of Science</v>
      </c>
    </row>
    <row r="626" spans="1:72" x14ac:dyDescent="0.15">
      <c r="A626" t="s">
        <v>72</v>
      </c>
      <c r="B626" t="s">
        <v>9750</v>
      </c>
      <c r="C626" t="s">
        <v>74</v>
      </c>
      <c r="D626" t="s">
        <v>74</v>
      </c>
      <c r="E626" t="s">
        <v>74</v>
      </c>
      <c r="F626" t="s">
        <v>9750</v>
      </c>
      <c r="G626" t="s">
        <v>74</v>
      </c>
      <c r="H626" t="s">
        <v>74</v>
      </c>
      <c r="I626" t="s">
        <v>9751</v>
      </c>
      <c r="J626" t="s">
        <v>8301</v>
      </c>
      <c r="K626" t="s">
        <v>74</v>
      </c>
      <c r="L626" t="s">
        <v>74</v>
      </c>
      <c r="M626" t="s">
        <v>77</v>
      </c>
      <c r="N626" t="s">
        <v>78</v>
      </c>
      <c r="O626" t="s">
        <v>74</v>
      </c>
      <c r="P626" t="s">
        <v>74</v>
      </c>
      <c r="Q626" t="s">
        <v>74</v>
      </c>
      <c r="R626" t="s">
        <v>74</v>
      </c>
      <c r="S626" t="s">
        <v>74</v>
      </c>
      <c r="T626" t="s">
        <v>9752</v>
      </c>
      <c r="U626" t="s">
        <v>9753</v>
      </c>
      <c r="V626" t="s">
        <v>9754</v>
      </c>
      <c r="W626" t="s">
        <v>9755</v>
      </c>
      <c r="X626" t="s">
        <v>9756</v>
      </c>
      <c r="Y626" t="s">
        <v>9757</v>
      </c>
      <c r="Z626" t="s">
        <v>9758</v>
      </c>
      <c r="AA626" t="s">
        <v>9759</v>
      </c>
      <c r="AB626" t="s">
        <v>9760</v>
      </c>
      <c r="AC626" t="s">
        <v>74</v>
      </c>
      <c r="AD626" t="s">
        <v>74</v>
      </c>
      <c r="AE626" t="s">
        <v>74</v>
      </c>
      <c r="AF626" t="s">
        <v>74</v>
      </c>
      <c r="AG626">
        <v>43</v>
      </c>
      <c r="AH626">
        <v>39</v>
      </c>
      <c r="AI626">
        <v>39</v>
      </c>
      <c r="AJ626">
        <v>1</v>
      </c>
      <c r="AK626">
        <v>14</v>
      </c>
      <c r="AL626" t="s">
        <v>622</v>
      </c>
      <c r="AM626" t="s">
        <v>140</v>
      </c>
      <c r="AN626" t="s">
        <v>623</v>
      </c>
      <c r="AO626" t="s">
        <v>8311</v>
      </c>
      <c r="AP626" t="s">
        <v>8312</v>
      </c>
      <c r="AQ626" t="s">
        <v>74</v>
      </c>
      <c r="AR626" t="s">
        <v>8313</v>
      </c>
      <c r="AS626" t="s">
        <v>8314</v>
      </c>
      <c r="AT626" t="s">
        <v>9746</v>
      </c>
      <c r="AU626">
        <v>2005</v>
      </c>
      <c r="AV626">
        <v>39</v>
      </c>
      <c r="AW626">
        <v>32</v>
      </c>
      <c r="AX626" t="s">
        <v>74</v>
      </c>
      <c r="AY626" t="s">
        <v>74</v>
      </c>
      <c r="AZ626" t="s">
        <v>74</v>
      </c>
      <c r="BA626" t="s">
        <v>74</v>
      </c>
      <c r="BB626">
        <v>6000</v>
      </c>
      <c r="BC626">
        <v>6006</v>
      </c>
      <c r="BD626" t="s">
        <v>74</v>
      </c>
      <c r="BE626" t="s">
        <v>9761</v>
      </c>
      <c r="BF626" t="str">
        <f>HYPERLINK("http://dx.doi.org/10.1016/j.atmosenv.2005.06.036","http://dx.doi.org/10.1016/j.atmosenv.2005.06.036")</f>
        <v>http://dx.doi.org/10.1016/j.atmosenv.2005.06.036</v>
      </c>
      <c r="BG626" t="s">
        <v>74</v>
      </c>
      <c r="BH626" t="s">
        <v>74</v>
      </c>
      <c r="BI626">
        <v>7</v>
      </c>
      <c r="BJ626" t="s">
        <v>6080</v>
      </c>
      <c r="BK626" t="s">
        <v>98</v>
      </c>
      <c r="BL626" t="s">
        <v>6081</v>
      </c>
      <c r="BM626" t="s">
        <v>9762</v>
      </c>
      <c r="BN626" t="s">
        <v>74</v>
      </c>
      <c r="BO626" t="s">
        <v>74</v>
      </c>
      <c r="BP626" t="s">
        <v>74</v>
      </c>
      <c r="BQ626" t="s">
        <v>74</v>
      </c>
      <c r="BR626" t="s">
        <v>101</v>
      </c>
      <c r="BS626" t="s">
        <v>9763</v>
      </c>
      <c r="BT626" t="str">
        <f>HYPERLINK("https%3A%2F%2Fwww.webofscience.com%2Fwos%2Fwoscc%2Ffull-record%2FWOS:000232435200022","View Full Record in Web of Science")</f>
        <v>View Full Record in Web of Science</v>
      </c>
    </row>
    <row r="627" spans="1:72" x14ac:dyDescent="0.15">
      <c r="A627" t="s">
        <v>72</v>
      </c>
      <c r="B627" t="s">
        <v>9764</v>
      </c>
      <c r="C627" t="s">
        <v>74</v>
      </c>
      <c r="D627" t="s">
        <v>74</v>
      </c>
      <c r="E627" t="s">
        <v>74</v>
      </c>
      <c r="F627" t="s">
        <v>9764</v>
      </c>
      <c r="G627" t="s">
        <v>74</v>
      </c>
      <c r="H627" t="s">
        <v>74</v>
      </c>
      <c r="I627" t="s">
        <v>9765</v>
      </c>
      <c r="J627" t="s">
        <v>9766</v>
      </c>
      <c r="K627" t="s">
        <v>74</v>
      </c>
      <c r="L627" t="s">
        <v>74</v>
      </c>
      <c r="M627" t="s">
        <v>77</v>
      </c>
      <c r="N627" t="s">
        <v>78</v>
      </c>
      <c r="O627" t="s">
        <v>74</v>
      </c>
      <c r="P627" t="s">
        <v>74</v>
      </c>
      <c r="Q627" t="s">
        <v>74</v>
      </c>
      <c r="R627" t="s">
        <v>74</v>
      </c>
      <c r="S627" t="s">
        <v>74</v>
      </c>
      <c r="T627" t="s">
        <v>9767</v>
      </c>
      <c r="U627" t="s">
        <v>9768</v>
      </c>
      <c r="V627" t="s">
        <v>9769</v>
      </c>
      <c r="W627" t="s">
        <v>801</v>
      </c>
      <c r="X627" t="s">
        <v>788</v>
      </c>
      <c r="Y627" t="s">
        <v>9770</v>
      </c>
      <c r="Z627" t="s">
        <v>9771</v>
      </c>
      <c r="AA627" t="s">
        <v>9772</v>
      </c>
      <c r="AB627" t="s">
        <v>9773</v>
      </c>
      <c r="AC627" t="s">
        <v>74</v>
      </c>
      <c r="AD627" t="s">
        <v>74</v>
      </c>
      <c r="AE627" t="s">
        <v>74</v>
      </c>
      <c r="AF627" t="s">
        <v>74</v>
      </c>
      <c r="AG627">
        <v>20</v>
      </c>
      <c r="AH627">
        <v>32</v>
      </c>
      <c r="AI627">
        <v>36</v>
      </c>
      <c r="AJ627">
        <v>2</v>
      </c>
      <c r="AK627">
        <v>11</v>
      </c>
      <c r="AL627" t="s">
        <v>9774</v>
      </c>
      <c r="AM627" t="s">
        <v>2517</v>
      </c>
      <c r="AN627" t="s">
        <v>9775</v>
      </c>
      <c r="AO627" t="s">
        <v>9776</v>
      </c>
      <c r="AP627" t="s">
        <v>9777</v>
      </c>
      <c r="AQ627" t="s">
        <v>74</v>
      </c>
      <c r="AR627" t="s">
        <v>9766</v>
      </c>
      <c r="AS627" t="s">
        <v>9766</v>
      </c>
      <c r="AT627" t="s">
        <v>9746</v>
      </c>
      <c r="AU627">
        <v>2005</v>
      </c>
      <c r="AV627">
        <v>122</v>
      </c>
      <c r="AW627">
        <v>4</v>
      </c>
      <c r="AX627" t="s">
        <v>74</v>
      </c>
      <c r="AY627" t="s">
        <v>74</v>
      </c>
      <c r="AZ627" t="s">
        <v>74</v>
      </c>
      <c r="BA627" t="s">
        <v>74</v>
      </c>
      <c r="BB627">
        <v>1182</v>
      </c>
      <c r="BC627">
        <v>1190</v>
      </c>
      <c r="BD627" t="s">
        <v>74</v>
      </c>
      <c r="BE627" t="s">
        <v>9778</v>
      </c>
      <c r="BF627" t="str">
        <f>HYPERLINK("http://dx.doi.org/10.1642/0004-8038(2005)122[1182:BAEMFA]2.0.CO;2","http://dx.doi.org/10.1642/0004-8038(2005)122[1182:BAEMFA]2.0.CO;2")</f>
        <v>http://dx.doi.org/10.1642/0004-8038(2005)122[1182:BAEMFA]2.0.CO;2</v>
      </c>
      <c r="BG627" t="s">
        <v>74</v>
      </c>
      <c r="BH627" t="s">
        <v>74</v>
      </c>
      <c r="BI627">
        <v>9</v>
      </c>
      <c r="BJ627" t="s">
        <v>1178</v>
      </c>
      <c r="BK627" t="s">
        <v>98</v>
      </c>
      <c r="BL627" t="s">
        <v>532</v>
      </c>
      <c r="BM627" t="s">
        <v>9779</v>
      </c>
      <c r="BN627" t="s">
        <v>74</v>
      </c>
      <c r="BO627" t="s">
        <v>1900</v>
      </c>
      <c r="BP627" t="s">
        <v>74</v>
      </c>
      <c r="BQ627" t="s">
        <v>74</v>
      </c>
      <c r="BR627" t="s">
        <v>101</v>
      </c>
      <c r="BS627" t="s">
        <v>9780</v>
      </c>
      <c r="BT627" t="str">
        <f>HYPERLINK("https%3A%2F%2Fwww.webofscience.com%2Fwos%2Fwoscc%2Ffull-record%2FWOS:000233509200014","View Full Record in Web of Science")</f>
        <v>View Full Record in Web of Science</v>
      </c>
    </row>
    <row r="628" spans="1:72" x14ac:dyDescent="0.15">
      <c r="A628" t="s">
        <v>72</v>
      </c>
      <c r="B628" t="s">
        <v>9781</v>
      </c>
      <c r="C628" t="s">
        <v>74</v>
      </c>
      <c r="D628" t="s">
        <v>74</v>
      </c>
      <c r="E628" t="s">
        <v>74</v>
      </c>
      <c r="F628" t="s">
        <v>9781</v>
      </c>
      <c r="G628" t="s">
        <v>74</v>
      </c>
      <c r="H628" t="s">
        <v>74</v>
      </c>
      <c r="I628" t="s">
        <v>9782</v>
      </c>
      <c r="J628" t="s">
        <v>129</v>
      </c>
      <c r="K628" t="s">
        <v>74</v>
      </c>
      <c r="L628" t="s">
        <v>74</v>
      </c>
      <c r="M628" t="s">
        <v>77</v>
      </c>
      <c r="N628" t="s">
        <v>78</v>
      </c>
      <c r="O628" t="s">
        <v>74</v>
      </c>
      <c r="P628" t="s">
        <v>74</v>
      </c>
      <c r="Q628" t="s">
        <v>74</v>
      </c>
      <c r="R628" t="s">
        <v>74</v>
      </c>
      <c r="S628" t="s">
        <v>74</v>
      </c>
      <c r="T628" t="s">
        <v>9783</v>
      </c>
      <c r="U628" t="s">
        <v>9784</v>
      </c>
      <c r="V628" t="s">
        <v>9785</v>
      </c>
      <c r="W628" t="s">
        <v>9786</v>
      </c>
      <c r="X628" t="s">
        <v>74</v>
      </c>
      <c r="Y628" t="s">
        <v>9787</v>
      </c>
      <c r="Z628" t="s">
        <v>9788</v>
      </c>
      <c r="AA628" t="s">
        <v>74</v>
      </c>
      <c r="AB628" t="s">
        <v>74</v>
      </c>
      <c r="AC628" t="s">
        <v>74</v>
      </c>
      <c r="AD628" t="s">
        <v>74</v>
      </c>
      <c r="AE628" t="s">
        <v>74</v>
      </c>
      <c r="AF628" t="s">
        <v>74</v>
      </c>
      <c r="AG628">
        <v>58</v>
      </c>
      <c r="AH628">
        <v>22</v>
      </c>
      <c r="AI628">
        <v>25</v>
      </c>
      <c r="AJ628">
        <v>0</v>
      </c>
      <c r="AK628">
        <v>6</v>
      </c>
      <c r="AL628" t="s">
        <v>139</v>
      </c>
      <c r="AM628" t="s">
        <v>140</v>
      </c>
      <c r="AN628" t="s">
        <v>141</v>
      </c>
      <c r="AO628" t="s">
        <v>142</v>
      </c>
      <c r="AP628" t="s">
        <v>74</v>
      </c>
      <c r="AQ628" t="s">
        <v>74</v>
      </c>
      <c r="AR628" t="s">
        <v>143</v>
      </c>
      <c r="AS628" t="s">
        <v>144</v>
      </c>
      <c r="AT628" t="s">
        <v>9746</v>
      </c>
      <c r="AU628">
        <v>2005</v>
      </c>
      <c r="AV628">
        <v>125</v>
      </c>
      <c r="AW628">
        <v>3</v>
      </c>
      <c r="AX628" t="s">
        <v>74</v>
      </c>
      <c r="AY628" t="s">
        <v>74</v>
      </c>
      <c r="AZ628" t="s">
        <v>74</v>
      </c>
      <c r="BA628" t="s">
        <v>74</v>
      </c>
      <c r="BB628">
        <v>309</v>
      </c>
      <c r="BC628">
        <v>322</v>
      </c>
      <c r="BD628" t="s">
        <v>74</v>
      </c>
      <c r="BE628" t="s">
        <v>9789</v>
      </c>
      <c r="BF628" t="str">
        <f>HYPERLINK("http://dx.doi.org/10.1016/j.biocon.2005.04.002","http://dx.doi.org/10.1016/j.biocon.2005.04.002")</f>
        <v>http://dx.doi.org/10.1016/j.biocon.2005.04.002</v>
      </c>
      <c r="BG628" t="s">
        <v>74</v>
      </c>
      <c r="BH628" t="s">
        <v>74</v>
      </c>
      <c r="BI628">
        <v>14</v>
      </c>
      <c r="BJ628" t="s">
        <v>146</v>
      </c>
      <c r="BK628" t="s">
        <v>98</v>
      </c>
      <c r="BL628" t="s">
        <v>147</v>
      </c>
      <c r="BM628" t="s">
        <v>9790</v>
      </c>
      <c r="BN628" t="s">
        <v>74</v>
      </c>
      <c r="BO628" t="s">
        <v>74</v>
      </c>
      <c r="BP628" t="s">
        <v>74</v>
      </c>
      <c r="BQ628" t="s">
        <v>74</v>
      </c>
      <c r="BR628" t="s">
        <v>101</v>
      </c>
      <c r="BS628" t="s">
        <v>9791</v>
      </c>
      <c r="BT628" t="str">
        <f>HYPERLINK("https%3A%2F%2Fwww.webofscience.com%2Fwos%2Fwoscc%2Ffull-record%2FWOS:000230357900004","View Full Record in Web of Science")</f>
        <v>View Full Record in Web of Science</v>
      </c>
    </row>
    <row r="629" spans="1:72" x14ac:dyDescent="0.15">
      <c r="A629" t="s">
        <v>72</v>
      </c>
      <c r="B629" t="s">
        <v>9792</v>
      </c>
      <c r="C629" t="s">
        <v>74</v>
      </c>
      <c r="D629" t="s">
        <v>74</v>
      </c>
      <c r="E629" t="s">
        <v>74</v>
      </c>
      <c r="F629" t="s">
        <v>9792</v>
      </c>
      <c r="G629" t="s">
        <v>74</v>
      </c>
      <c r="H629" t="s">
        <v>74</v>
      </c>
      <c r="I629" t="s">
        <v>9793</v>
      </c>
      <c r="J629" t="s">
        <v>9794</v>
      </c>
      <c r="K629" t="s">
        <v>74</v>
      </c>
      <c r="L629" t="s">
        <v>74</v>
      </c>
      <c r="M629" t="s">
        <v>77</v>
      </c>
      <c r="N629" t="s">
        <v>78</v>
      </c>
      <c r="O629" t="s">
        <v>74</v>
      </c>
      <c r="P629" t="s">
        <v>74</v>
      </c>
      <c r="Q629" t="s">
        <v>74</v>
      </c>
      <c r="R629" t="s">
        <v>74</v>
      </c>
      <c r="S629" t="s">
        <v>74</v>
      </c>
      <c r="T629" t="s">
        <v>9795</v>
      </c>
      <c r="U629" t="s">
        <v>9796</v>
      </c>
      <c r="V629" t="s">
        <v>9797</v>
      </c>
      <c r="W629" t="s">
        <v>9798</v>
      </c>
      <c r="X629" t="s">
        <v>8526</v>
      </c>
      <c r="Y629" t="s">
        <v>9799</v>
      </c>
      <c r="Z629" t="s">
        <v>9800</v>
      </c>
      <c r="AA629" t="s">
        <v>9801</v>
      </c>
      <c r="AB629" t="s">
        <v>9802</v>
      </c>
      <c r="AC629" t="s">
        <v>74</v>
      </c>
      <c r="AD629" t="s">
        <v>74</v>
      </c>
      <c r="AE629" t="s">
        <v>74</v>
      </c>
      <c r="AF629" t="s">
        <v>74</v>
      </c>
      <c r="AG629">
        <v>23</v>
      </c>
      <c r="AH629">
        <v>3</v>
      </c>
      <c r="AI629">
        <v>4</v>
      </c>
      <c r="AJ629">
        <v>0</v>
      </c>
      <c r="AK629">
        <v>5</v>
      </c>
      <c r="AL629" t="s">
        <v>88</v>
      </c>
      <c r="AM629" t="s">
        <v>162</v>
      </c>
      <c r="AN629" t="s">
        <v>163</v>
      </c>
      <c r="AO629" t="s">
        <v>9803</v>
      </c>
      <c r="AP629" t="s">
        <v>74</v>
      </c>
      <c r="AQ629" t="s">
        <v>74</v>
      </c>
      <c r="AR629" t="s">
        <v>9794</v>
      </c>
      <c r="AS629" t="s">
        <v>9804</v>
      </c>
      <c r="AT629" t="s">
        <v>9746</v>
      </c>
      <c r="AU629">
        <v>2005</v>
      </c>
      <c r="AV629">
        <v>18</v>
      </c>
      <c r="AW629">
        <v>5</v>
      </c>
      <c r="AX629" t="s">
        <v>74</v>
      </c>
      <c r="AY629" t="s">
        <v>74</v>
      </c>
      <c r="AZ629" t="s">
        <v>74</v>
      </c>
      <c r="BA629" t="s">
        <v>74</v>
      </c>
      <c r="BB629">
        <v>529</v>
      </c>
      <c r="BC629">
        <v>536</v>
      </c>
      <c r="BD629" t="s">
        <v>74</v>
      </c>
      <c r="BE629" t="s">
        <v>9805</v>
      </c>
      <c r="BF629" t="str">
        <f>HYPERLINK("http://dx.doi.org/10.1007/s10534-005-0837-z","http://dx.doi.org/10.1007/s10534-005-0837-z")</f>
        <v>http://dx.doi.org/10.1007/s10534-005-0837-z</v>
      </c>
      <c r="BG629" t="s">
        <v>74</v>
      </c>
      <c r="BH629" t="s">
        <v>74</v>
      </c>
      <c r="BI629">
        <v>8</v>
      </c>
      <c r="BJ629" t="s">
        <v>124</v>
      </c>
      <c r="BK629" t="s">
        <v>98</v>
      </c>
      <c r="BL629" t="s">
        <v>124</v>
      </c>
      <c r="BM629" t="s">
        <v>9806</v>
      </c>
      <c r="BN629">
        <v>16333753</v>
      </c>
      <c r="BO629" t="s">
        <v>74</v>
      </c>
      <c r="BP629" t="s">
        <v>74</v>
      </c>
      <c r="BQ629" t="s">
        <v>74</v>
      </c>
      <c r="BR629" t="s">
        <v>101</v>
      </c>
      <c r="BS629" t="s">
        <v>9807</v>
      </c>
      <c r="BT629" t="str">
        <f>HYPERLINK("https%3A%2F%2Fwww.webofscience.com%2Fwos%2Fwoscc%2Ffull-record%2FWOS:000233823500008","View Full Record in Web of Science")</f>
        <v>View Full Record in Web of Science</v>
      </c>
    </row>
    <row r="630" spans="1:72" x14ac:dyDescent="0.15">
      <c r="A630" t="s">
        <v>72</v>
      </c>
      <c r="B630" t="s">
        <v>9808</v>
      </c>
      <c r="C630" t="s">
        <v>74</v>
      </c>
      <c r="D630" t="s">
        <v>74</v>
      </c>
      <c r="E630" t="s">
        <v>74</v>
      </c>
      <c r="F630" t="s">
        <v>9808</v>
      </c>
      <c r="G630" t="s">
        <v>74</v>
      </c>
      <c r="H630" t="s">
        <v>74</v>
      </c>
      <c r="I630" t="s">
        <v>9809</v>
      </c>
      <c r="J630" t="s">
        <v>9810</v>
      </c>
      <c r="K630" t="s">
        <v>74</v>
      </c>
      <c r="L630" t="s">
        <v>74</v>
      </c>
      <c r="M630" t="s">
        <v>77</v>
      </c>
      <c r="N630" t="s">
        <v>78</v>
      </c>
      <c r="O630" t="s">
        <v>74</v>
      </c>
      <c r="P630" t="s">
        <v>74</v>
      </c>
      <c r="Q630" t="s">
        <v>74</v>
      </c>
      <c r="R630" t="s">
        <v>74</v>
      </c>
      <c r="S630" t="s">
        <v>74</v>
      </c>
      <c r="T630" t="s">
        <v>9811</v>
      </c>
      <c r="U630" t="s">
        <v>9812</v>
      </c>
      <c r="V630" t="s">
        <v>9813</v>
      </c>
      <c r="W630" t="s">
        <v>9814</v>
      </c>
      <c r="X630" t="s">
        <v>9815</v>
      </c>
      <c r="Y630" t="s">
        <v>9816</v>
      </c>
      <c r="Z630" t="s">
        <v>9817</v>
      </c>
      <c r="AA630" t="s">
        <v>9818</v>
      </c>
      <c r="AB630" t="s">
        <v>9819</v>
      </c>
      <c r="AC630" t="s">
        <v>74</v>
      </c>
      <c r="AD630" t="s">
        <v>74</v>
      </c>
      <c r="AE630" t="s">
        <v>74</v>
      </c>
      <c r="AF630" t="s">
        <v>74</v>
      </c>
      <c r="AG630">
        <v>76</v>
      </c>
      <c r="AH630">
        <v>30</v>
      </c>
      <c r="AI630">
        <v>31</v>
      </c>
      <c r="AJ630">
        <v>1</v>
      </c>
      <c r="AK630">
        <v>9</v>
      </c>
      <c r="AL630" t="s">
        <v>88</v>
      </c>
      <c r="AM630" t="s">
        <v>162</v>
      </c>
      <c r="AN630" t="s">
        <v>163</v>
      </c>
      <c r="AO630" t="s">
        <v>9820</v>
      </c>
      <c r="AP630" t="s">
        <v>74</v>
      </c>
      <c r="AQ630" t="s">
        <v>74</v>
      </c>
      <c r="AR630" t="s">
        <v>9821</v>
      </c>
      <c r="AS630" t="s">
        <v>9822</v>
      </c>
      <c r="AT630" t="s">
        <v>9746</v>
      </c>
      <c r="AU630">
        <v>2005</v>
      </c>
      <c r="AV630">
        <v>117</v>
      </c>
      <c r="AW630">
        <v>1</v>
      </c>
      <c r="AX630" t="s">
        <v>74</v>
      </c>
      <c r="AY630" t="s">
        <v>74</v>
      </c>
      <c r="AZ630" t="s">
        <v>74</v>
      </c>
      <c r="BA630" t="s">
        <v>74</v>
      </c>
      <c r="BB630">
        <v>149</v>
      </c>
      <c r="BC630">
        <v>177</v>
      </c>
      <c r="BD630" t="s">
        <v>74</v>
      </c>
      <c r="BE630" t="s">
        <v>9823</v>
      </c>
      <c r="BF630" t="str">
        <f>HYPERLINK("http://dx.doi.org/10.1007/s10546-004-5939-6","http://dx.doi.org/10.1007/s10546-004-5939-6")</f>
        <v>http://dx.doi.org/10.1007/s10546-004-5939-6</v>
      </c>
      <c r="BG630" t="s">
        <v>74</v>
      </c>
      <c r="BH630" t="s">
        <v>74</v>
      </c>
      <c r="BI630">
        <v>29</v>
      </c>
      <c r="BJ630" t="s">
        <v>2033</v>
      </c>
      <c r="BK630" t="s">
        <v>98</v>
      </c>
      <c r="BL630" t="s">
        <v>2033</v>
      </c>
      <c r="BM630" t="s">
        <v>9824</v>
      </c>
      <c r="BN630" t="s">
        <v>74</v>
      </c>
      <c r="BO630" t="s">
        <v>74</v>
      </c>
      <c r="BP630" t="s">
        <v>74</v>
      </c>
      <c r="BQ630" t="s">
        <v>74</v>
      </c>
      <c r="BR630" t="s">
        <v>101</v>
      </c>
      <c r="BS630" t="s">
        <v>9825</v>
      </c>
      <c r="BT630" t="str">
        <f>HYPERLINK("https%3A%2F%2Fwww.webofscience.com%2Fwos%2Fwoscc%2Ffull-record%2FWOS:000232792900008","View Full Record in Web of Science")</f>
        <v>View Full Record in Web of Science</v>
      </c>
    </row>
    <row r="631" spans="1:72" x14ac:dyDescent="0.15">
      <c r="A631" t="s">
        <v>72</v>
      </c>
      <c r="B631" t="s">
        <v>9826</v>
      </c>
      <c r="C631" t="s">
        <v>74</v>
      </c>
      <c r="D631" t="s">
        <v>74</v>
      </c>
      <c r="E631" t="s">
        <v>74</v>
      </c>
      <c r="F631" t="s">
        <v>9826</v>
      </c>
      <c r="G631" t="s">
        <v>74</v>
      </c>
      <c r="H631" t="s">
        <v>74</v>
      </c>
      <c r="I631" t="s">
        <v>9827</v>
      </c>
      <c r="J631" t="s">
        <v>6038</v>
      </c>
      <c r="K631" t="s">
        <v>74</v>
      </c>
      <c r="L631" t="s">
        <v>74</v>
      </c>
      <c r="M631" t="s">
        <v>77</v>
      </c>
      <c r="N631" t="s">
        <v>78</v>
      </c>
      <c r="O631" t="s">
        <v>74</v>
      </c>
      <c r="P631" t="s">
        <v>74</v>
      </c>
      <c r="Q631" t="s">
        <v>74</v>
      </c>
      <c r="R631" t="s">
        <v>74</v>
      </c>
      <c r="S631" t="s">
        <v>74</v>
      </c>
      <c r="T631" t="s">
        <v>74</v>
      </c>
      <c r="U631" t="s">
        <v>9828</v>
      </c>
      <c r="V631" t="s">
        <v>9829</v>
      </c>
      <c r="W631" t="s">
        <v>9830</v>
      </c>
      <c r="X631" t="s">
        <v>9831</v>
      </c>
      <c r="Y631" t="s">
        <v>9832</v>
      </c>
      <c r="Z631" t="s">
        <v>9833</v>
      </c>
      <c r="AA631" t="s">
        <v>9834</v>
      </c>
      <c r="AB631" t="s">
        <v>9835</v>
      </c>
      <c r="AC631" t="s">
        <v>74</v>
      </c>
      <c r="AD631" t="s">
        <v>74</v>
      </c>
      <c r="AE631" t="s">
        <v>74</v>
      </c>
      <c r="AF631" t="s">
        <v>74</v>
      </c>
      <c r="AG631">
        <v>66</v>
      </c>
      <c r="AH631">
        <v>50</v>
      </c>
      <c r="AI631">
        <v>55</v>
      </c>
      <c r="AJ631">
        <v>0</v>
      </c>
      <c r="AK631">
        <v>24</v>
      </c>
      <c r="AL631" t="s">
        <v>88</v>
      </c>
      <c r="AM631" t="s">
        <v>89</v>
      </c>
      <c r="AN631" t="s">
        <v>90</v>
      </c>
      <c r="AO631" t="s">
        <v>6046</v>
      </c>
      <c r="AP631" t="s">
        <v>6047</v>
      </c>
      <c r="AQ631" t="s">
        <v>74</v>
      </c>
      <c r="AR631" t="s">
        <v>6048</v>
      </c>
      <c r="AS631" t="s">
        <v>6049</v>
      </c>
      <c r="AT631" t="s">
        <v>9746</v>
      </c>
      <c r="AU631">
        <v>2005</v>
      </c>
      <c r="AV631">
        <v>25</v>
      </c>
      <c r="AW631">
        <v>5</v>
      </c>
      <c r="AX631" t="s">
        <v>74</v>
      </c>
      <c r="AY631" t="s">
        <v>74</v>
      </c>
      <c r="AZ631" t="s">
        <v>74</v>
      </c>
      <c r="BA631" t="s">
        <v>74</v>
      </c>
      <c r="BB631">
        <v>497</v>
      </c>
      <c r="BC631">
        <v>516</v>
      </c>
      <c r="BD631" t="s">
        <v>74</v>
      </c>
      <c r="BE631" t="s">
        <v>9836</v>
      </c>
      <c r="BF631" t="str">
        <f>HYPERLINK("http://dx.doi.org/10.1007/s00382-005-0050-3","http://dx.doi.org/10.1007/s00382-005-0050-3")</f>
        <v>http://dx.doi.org/10.1007/s00382-005-0050-3</v>
      </c>
      <c r="BG631" t="s">
        <v>74</v>
      </c>
      <c r="BH631" t="s">
        <v>74</v>
      </c>
      <c r="BI631">
        <v>20</v>
      </c>
      <c r="BJ631" t="s">
        <v>2033</v>
      </c>
      <c r="BK631" t="s">
        <v>98</v>
      </c>
      <c r="BL631" t="s">
        <v>2033</v>
      </c>
      <c r="BM631" t="s">
        <v>9837</v>
      </c>
      <c r="BN631" t="s">
        <v>74</v>
      </c>
      <c r="BO631" t="s">
        <v>74</v>
      </c>
      <c r="BP631" t="s">
        <v>74</v>
      </c>
      <c r="BQ631" t="s">
        <v>74</v>
      </c>
      <c r="BR631" t="s">
        <v>101</v>
      </c>
      <c r="BS631" t="s">
        <v>9838</v>
      </c>
      <c r="BT631" t="str">
        <f>HYPERLINK("https%3A%2F%2Fwww.webofscience.com%2Fwos%2Fwoscc%2Ffull-record%2FWOS:000232909000004","View Full Record in Web of Science")</f>
        <v>View Full Record in Web of Science</v>
      </c>
    </row>
    <row r="632" spans="1:72" x14ac:dyDescent="0.15">
      <c r="A632" t="s">
        <v>72</v>
      </c>
      <c r="B632" t="s">
        <v>9839</v>
      </c>
      <c r="C632" t="s">
        <v>74</v>
      </c>
      <c r="D632" t="s">
        <v>74</v>
      </c>
      <c r="E632" t="s">
        <v>74</v>
      </c>
      <c r="F632" t="s">
        <v>9839</v>
      </c>
      <c r="G632" t="s">
        <v>74</v>
      </c>
      <c r="H632" t="s">
        <v>74</v>
      </c>
      <c r="I632" t="s">
        <v>9840</v>
      </c>
      <c r="J632" t="s">
        <v>9841</v>
      </c>
      <c r="K632" t="s">
        <v>74</v>
      </c>
      <c r="L632" t="s">
        <v>74</v>
      </c>
      <c r="M632" t="s">
        <v>77</v>
      </c>
      <c r="N632" t="s">
        <v>335</v>
      </c>
      <c r="O632" t="s">
        <v>9842</v>
      </c>
      <c r="P632" t="s">
        <v>2125</v>
      </c>
      <c r="Q632" t="s">
        <v>9843</v>
      </c>
      <c r="R632" t="s">
        <v>74</v>
      </c>
      <c r="S632" t="s">
        <v>74</v>
      </c>
      <c r="T632" t="s">
        <v>9844</v>
      </c>
      <c r="U632" t="s">
        <v>9845</v>
      </c>
      <c r="V632" t="s">
        <v>9846</v>
      </c>
      <c r="W632" t="s">
        <v>9847</v>
      </c>
      <c r="X632" t="s">
        <v>9848</v>
      </c>
      <c r="Y632" t="s">
        <v>9849</v>
      </c>
      <c r="Z632" t="s">
        <v>9850</v>
      </c>
      <c r="AA632" t="s">
        <v>9851</v>
      </c>
      <c r="AB632" t="s">
        <v>9852</v>
      </c>
      <c r="AC632" t="s">
        <v>74</v>
      </c>
      <c r="AD632" t="s">
        <v>74</v>
      </c>
      <c r="AE632" t="s">
        <v>74</v>
      </c>
      <c r="AF632" t="s">
        <v>74</v>
      </c>
      <c r="AG632">
        <v>67</v>
      </c>
      <c r="AH632">
        <v>66</v>
      </c>
      <c r="AI632">
        <v>72</v>
      </c>
      <c r="AJ632">
        <v>0</v>
      </c>
      <c r="AK632">
        <v>7</v>
      </c>
      <c r="AL632" t="s">
        <v>8860</v>
      </c>
      <c r="AM632" t="s">
        <v>89</v>
      </c>
      <c r="AN632" t="s">
        <v>9853</v>
      </c>
      <c r="AO632" t="s">
        <v>9854</v>
      </c>
      <c r="AP632" t="s">
        <v>9855</v>
      </c>
      <c r="AQ632" t="s">
        <v>74</v>
      </c>
      <c r="AR632" t="s">
        <v>9856</v>
      </c>
      <c r="AS632" t="s">
        <v>9857</v>
      </c>
      <c r="AT632" t="s">
        <v>9746</v>
      </c>
      <c r="AU632">
        <v>2005</v>
      </c>
      <c r="AV632">
        <v>142</v>
      </c>
      <c r="AW632">
        <v>2</v>
      </c>
      <c r="AX632" t="s">
        <v>74</v>
      </c>
      <c r="AY632" t="s">
        <v>74</v>
      </c>
      <c r="AZ632" t="s">
        <v>74</v>
      </c>
      <c r="BA632" t="s">
        <v>74</v>
      </c>
      <c r="BB632">
        <v>164</v>
      </c>
      <c r="BC632">
        <v>177</v>
      </c>
      <c r="BD632" t="s">
        <v>74</v>
      </c>
      <c r="BE632" t="s">
        <v>9858</v>
      </c>
      <c r="BF632" t="str">
        <f>HYPERLINK("http://dx.doi.org/10.1016/j.cbpb.2005.04.019","http://dx.doi.org/10.1016/j.cbpb.2005.04.019")</f>
        <v>http://dx.doi.org/10.1016/j.cbpb.2005.04.019</v>
      </c>
      <c r="BG632" t="s">
        <v>74</v>
      </c>
      <c r="BH632" t="s">
        <v>74</v>
      </c>
      <c r="BI632">
        <v>14</v>
      </c>
      <c r="BJ632" t="s">
        <v>9859</v>
      </c>
      <c r="BK632" t="s">
        <v>1411</v>
      </c>
      <c r="BL632" t="s">
        <v>9859</v>
      </c>
      <c r="BM632" t="s">
        <v>9860</v>
      </c>
      <c r="BN632">
        <v>15982912</v>
      </c>
      <c r="BO632" t="s">
        <v>74</v>
      </c>
      <c r="BP632" t="s">
        <v>74</v>
      </c>
      <c r="BQ632" t="s">
        <v>74</v>
      </c>
      <c r="BR632" t="s">
        <v>101</v>
      </c>
      <c r="BS632" t="s">
        <v>9861</v>
      </c>
      <c r="BT632" t="str">
        <f>HYPERLINK("https%3A%2F%2Fwww.webofscience.com%2Fwos%2Fwoscc%2Ffull-record%2FWOS:000233150400010","View Full Record in Web of Science")</f>
        <v>View Full Record in Web of Science</v>
      </c>
    </row>
    <row r="633" spans="1:72" x14ac:dyDescent="0.15">
      <c r="A633" t="s">
        <v>72</v>
      </c>
      <c r="B633" t="s">
        <v>9862</v>
      </c>
      <c r="C633" t="s">
        <v>74</v>
      </c>
      <c r="D633" t="s">
        <v>74</v>
      </c>
      <c r="E633" t="s">
        <v>74</v>
      </c>
      <c r="F633" t="s">
        <v>9862</v>
      </c>
      <c r="G633" t="s">
        <v>74</v>
      </c>
      <c r="H633" t="s">
        <v>74</v>
      </c>
      <c r="I633" t="s">
        <v>9863</v>
      </c>
      <c r="J633" t="s">
        <v>9864</v>
      </c>
      <c r="K633" t="s">
        <v>74</v>
      </c>
      <c r="L633" t="s">
        <v>74</v>
      </c>
      <c r="M633" t="s">
        <v>77</v>
      </c>
      <c r="N633" t="s">
        <v>78</v>
      </c>
      <c r="O633" t="s">
        <v>74</v>
      </c>
      <c r="P633" t="s">
        <v>74</v>
      </c>
      <c r="Q633" t="s">
        <v>74</v>
      </c>
      <c r="R633" t="s">
        <v>74</v>
      </c>
      <c r="S633" t="s">
        <v>74</v>
      </c>
      <c r="T633" t="s">
        <v>9865</v>
      </c>
      <c r="U633" t="s">
        <v>9866</v>
      </c>
      <c r="V633" t="s">
        <v>9867</v>
      </c>
      <c r="W633" t="s">
        <v>9868</v>
      </c>
      <c r="X633" t="s">
        <v>9869</v>
      </c>
      <c r="Y633" t="s">
        <v>9870</v>
      </c>
      <c r="Z633" t="s">
        <v>9871</v>
      </c>
      <c r="AA633" t="s">
        <v>9872</v>
      </c>
      <c r="AB633" t="s">
        <v>9873</v>
      </c>
      <c r="AC633" t="s">
        <v>74</v>
      </c>
      <c r="AD633" t="s">
        <v>74</v>
      </c>
      <c r="AE633" t="s">
        <v>74</v>
      </c>
      <c r="AF633" t="s">
        <v>74</v>
      </c>
      <c r="AG633">
        <v>48</v>
      </c>
      <c r="AH633">
        <v>49</v>
      </c>
      <c r="AI633">
        <v>61</v>
      </c>
      <c r="AJ633">
        <v>0</v>
      </c>
      <c r="AK633">
        <v>19</v>
      </c>
      <c r="AL633" t="s">
        <v>4409</v>
      </c>
      <c r="AM633" t="s">
        <v>4410</v>
      </c>
      <c r="AN633" t="s">
        <v>4411</v>
      </c>
      <c r="AO633" t="s">
        <v>9874</v>
      </c>
      <c r="AP633" t="s">
        <v>9875</v>
      </c>
      <c r="AQ633" t="s">
        <v>74</v>
      </c>
      <c r="AR633" t="s">
        <v>9864</v>
      </c>
      <c r="AS633" t="s">
        <v>9876</v>
      </c>
      <c r="AT633" t="s">
        <v>9746</v>
      </c>
      <c r="AU633">
        <v>2005</v>
      </c>
      <c r="AV633">
        <v>51</v>
      </c>
      <c r="AW633">
        <v>2</v>
      </c>
      <c r="AX633" t="s">
        <v>74</v>
      </c>
      <c r="AY633" t="s">
        <v>74</v>
      </c>
      <c r="AZ633" t="s">
        <v>74</v>
      </c>
      <c r="BA633" t="s">
        <v>74</v>
      </c>
      <c r="BB633">
        <v>198</v>
      </c>
      <c r="BC633">
        <v>207</v>
      </c>
      <c r="BD633" t="s">
        <v>74</v>
      </c>
      <c r="BE633" t="s">
        <v>9877</v>
      </c>
      <c r="BF633" t="str">
        <f>HYPERLINK("http://dx.doi.org/10.1016/j.cryobiol.2005.07.001","http://dx.doi.org/10.1016/j.cryobiol.2005.07.001")</f>
        <v>http://dx.doi.org/10.1016/j.cryobiol.2005.07.001</v>
      </c>
      <c r="BG633" t="s">
        <v>74</v>
      </c>
      <c r="BH633" t="s">
        <v>74</v>
      </c>
      <c r="BI633">
        <v>10</v>
      </c>
      <c r="BJ633" t="s">
        <v>9878</v>
      </c>
      <c r="BK633" t="s">
        <v>98</v>
      </c>
      <c r="BL633" t="s">
        <v>9879</v>
      </c>
      <c r="BM633" t="s">
        <v>9880</v>
      </c>
      <c r="BN633">
        <v>16102742</v>
      </c>
      <c r="BO633" t="s">
        <v>74</v>
      </c>
      <c r="BP633" t="s">
        <v>74</v>
      </c>
      <c r="BQ633" t="s">
        <v>74</v>
      </c>
      <c r="BR633" t="s">
        <v>101</v>
      </c>
      <c r="BS633" t="s">
        <v>9881</v>
      </c>
      <c r="BT633" t="str">
        <f>HYPERLINK("https%3A%2F%2Fwww.webofscience.com%2Fwos%2Fwoscc%2Ffull-record%2FWOS:000232498100007","View Full Record in Web of Science")</f>
        <v>View Full Record in Web of Science</v>
      </c>
    </row>
    <row r="634" spans="1:72" x14ac:dyDescent="0.15">
      <c r="A634" t="s">
        <v>72</v>
      </c>
      <c r="B634" t="s">
        <v>9882</v>
      </c>
      <c r="C634" t="s">
        <v>74</v>
      </c>
      <c r="D634" t="s">
        <v>74</v>
      </c>
      <c r="E634" t="s">
        <v>74</v>
      </c>
      <c r="F634" t="s">
        <v>9882</v>
      </c>
      <c r="G634" t="s">
        <v>74</v>
      </c>
      <c r="H634" t="s">
        <v>74</v>
      </c>
      <c r="I634" t="s">
        <v>9883</v>
      </c>
      <c r="J634" t="s">
        <v>615</v>
      </c>
      <c r="K634" t="s">
        <v>74</v>
      </c>
      <c r="L634" t="s">
        <v>74</v>
      </c>
      <c r="M634" t="s">
        <v>77</v>
      </c>
      <c r="N634" t="s">
        <v>78</v>
      </c>
      <c r="O634" t="s">
        <v>74</v>
      </c>
      <c r="P634" t="s">
        <v>74</v>
      </c>
      <c r="Q634" t="s">
        <v>74</v>
      </c>
      <c r="R634" t="s">
        <v>74</v>
      </c>
      <c r="S634" t="s">
        <v>74</v>
      </c>
      <c r="T634" t="s">
        <v>9884</v>
      </c>
      <c r="U634" t="s">
        <v>9885</v>
      </c>
      <c r="V634" t="s">
        <v>9886</v>
      </c>
      <c r="W634" t="s">
        <v>9887</v>
      </c>
      <c r="X634" t="s">
        <v>9888</v>
      </c>
      <c r="Y634" t="s">
        <v>9889</v>
      </c>
      <c r="Z634" t="s">
        <v>9890</v>
      </c>
      <c r="AA634" t="s">
        <v>74</v>
      </c>
      <c r="AB634" t="s">
        <v>74</v>
      </c>
      <c r="AC634" t="s">
        <v>74</v>
      </c>
      <c r="AD634" t="s">
        <v>74</v>
      </c>
      <c r="AE634" t="s">
        <v>74</v>
      </c>
      <c r="AF634" t="s">
        <v>74</v>
      </c>
      <c r="AG634">
        <v>56</v>
      </c>
      <c r="AH634">
        <v>77</v>
      </c>
      <c r="AI634">
        <v>90</v>
      </c>
      <c r="AJ634">
        <v>1</v>
      </c>
      <c r="AK634">
        <v>16</v>
      </c>
      <c r="AL634" t="s">
        <v>622</v>
      </c>
      <c r="AM634" t="s">
        <v>140</v>
      </c>
      <c r="AN634" t="s">
        <v>623</v>
      </c>
      <c r="AO634" t="s">
        <v>624</v>
      </c>
      <c r="AP634" t="s">
        <v>625</v>
      </c>
      <c r="AQ634" t="s">
        <v>74</v>
      </c>
      <c r="AR634" t="s">
        <v>626</v>
      </c>
      <c r="AS634" t="s">
        <v>627</v>
      </c>
      <c r="AT634" t="s">
        <v>9746</v>
      </c>
      <c r="AU634">
        <v>2005</v>
      </c>
      <c r="AV634">
        <v>52</v>
      </c>
      <c r="AW634">
        <v>10</v>
      </c>
      <c r="AX634" t="s">
        <v>74</v>
      </c>
      <c r="AY634" t="s">
        <v>74</v>
      </c>
      <c r="AZ634" t="s">
        <v>74</v>
      </c>
      <c r="BA634" t="s">
        <v>74</v>
      </c>
      <c r="BB634">
        <v>1823</v>
      </c>
      <c r="BC634">
        <v>1841</v>
      </c>
      <c r="BD634" t="s">
        <v>74</v>
      </c>
      <c r="BE634" t="s">
        <v>9891</v>
      </c>
      <c r="BF634" t="str">
        <f>HYPERLINK("http://dx.doi.org/10.1016/j.dsr.2005.05.003","http://dx.doi.org/10.1016/j.dsr.2005.05.003")</f>
        <v>http://dx.doi.org/10.1016/j.dsr.2005.05.003</v>
      </c>
      <c r="BG634" t="s">
        <v>74</v>
      </c>
      <c r="BH634" t="s">
        <v>74</v>
      </c>
      <c r="BI634">
        <v>19</v>
      </c>
      <c r="BJ634" t="s">
        <v>629</v>
      </c>
      <c r="BK634" t="s">
        <v>98</v>
      </c>
      <c r="BL634" t="s">
        <v>629</v>
      </c>
      <c r="BM634" t="s">
        <v>9892</v>
      </c>
      <c r="BN634" t="s">
        <v>74</v>
      </c>
      <c r="BO634" t="s">
        <v>74</v>
      </c>
      <c r="BP634" t="s">
        <v>74</v>
      </c>
      <c r="BQ634" t="s">
        <v>74</v>
      </c>
      <c r="BR634" t="s">
        <v>101</v>
      </c>
      <c r="BS634" t="s">
        <v>9893</v>
      </c>
      <c r="BT634" t="str">
        <f>HYPERLINK("https%3A%2F%2Fwww.webofscience.com%2Fwos%2Fwoscc%2Ffull-record%2FWOS:000232212200003","View Full Record in Web of Science")</f>
        <v>View Full Record in Web of Science</v>
      </c>
    </row>
    <row r="635" spans="1:72" x14ac:dyDescent="0.15">
      <c r="A635" t="s">
        <v>72</v>
      </c>
      <c r="B635" t="s">
        <v>9894</v>
      </c>
      <c r="C635" t="s">
        <v>74</v>
      </c>
      <c r="D635" t="s">
        <v>74</v>
      </c>
      <c r="E635" t="s">
        <v>74</v>
      </c>
      <c r="F635" t="s">
        <v>9894</v>
      </c>
      <c r="G635" t="s">
        <v>74</v>
      </c>
      <c r="H635" t="s">
        <v>74</v>
      </c>
      <c r="I635" t="s">
        <v>9895</v>
      </c>
      <c r="J635" t="s">
        <v>615</v>
      </c>
      <c r="K635" t="s">
        <v>74</v>
      </c>
      <c r="L635" t="s">
        <v>74</v>
      </c>
      <c r="M635" t="s">
        <v>77</v>
      </c>
      <c r="N635" t="s">
        <v>78</v>
      </c>
      <c r="O635" t="s">
        <v>74</v>
      </c>
      <c r="P635" t="s">
        <v>74</v>
      </c>
      <c r="Q635" t="s">
        <v>74</v>
      </c>
      <c r="R635" t="s">
        <v>74</v>
      </c>
      <c r="S635" t="s">
        <v>74</v>
      </c>
      <c r="T635" t="s">
        <v>9896</v>
      </c>
      <c r="U635" t="s">
        <v>9897</v>
      </c>
      <c r="V635" t="s">
        <v>9898</v>
      </c>
      <c r="W635" t="s">
        <v>9899</v>
      </c>
      <c r="X635" t="s">
        <v>9900</v>
      </c>
      <c r="Y635" t="s">
        <v>9901</v>
      </c>
      <c r="Z635" t="s">
        <v>9902</v>
      </c>
      <c r="AA635" t="s">
        <v>9903</v>
      </c>
      <c r="AB635" t="s">
        <v>9904</v>
      </c>
      <c r="AC635" t="s">
        <v>74</v>
      </c>
      <c r="AD635" t="s">
        <v>74</v>
      </c>
      <c r="AE635" t="s">
        <v>74</v>
      </c>
      <c r="AF635" t="s">
        <v>74</v>
      </c>
      <c r="AG635">
        <v>76</v>
      </c>
      <c r="AH635">
        <v>82</v>
      </c>
      <c r="AI635">
        <v>94</v>
      </c>
      <c r="AJ635">
        <v>4</v>
      </c>
      <c r="AK635">
        <v>52</v>
      </c>
      <c r="AL635" t="s">
        <v>622</v>
      </c>
      <c r="AM635" t="s">
        <v>140</v>
      </c>
      <c r="AN635" t="s">
        <v>623</v>
      </c>
      <c r="AO635" t="s">
        <v>624</v>
      </c>
      <c r="AP635" t="s">
        <v>625</v>
      </c>
      <c r="AQ635" t="s">
        <v>74</v>
      </c>
      <c r="AR635" t="s">
        <v>626</v>
      </c>
      <c r="AS635" t="s">
        <v>627</v>
      </c>
      <c r="AT635" t="s">
        <v>9746</v>
      </c>
      <c r="AU635">
        <v>2005</v>
      </c>
      <c r="AV635">
        <v>52</v>
      </c>
      <c r="AW635">
        <v>10</v>
      </c>
      <c r="AX635" t="s">
        <v>74</v>
      </c>
      <c r="AY635" t="s">
        <v>74</v>
      </c>
      <c r="AZ635" t="s">
        <v>74</v>
      </c>
      <c r="BA635" t="s">
        <v>74</v>
      </c>
      <c r="BB635">
        <v>1842</v>
      </c>
      <c r="BC635">
        <v>1864</v>
      </c>
      <c r="BD635" t="s">
        <v>74</v>
      </c>
      <c r="BE635" t="s">
        <v>9905</v>
      </c>
      <c r="BF635" t="str">
        <f>HYPERLINK("http://dx.doi.org/10.1016/j.dsr.2005.06.005","http://dx.doi.org/10.1016/j.dsr.2005.06.005")</f>
        <v>http://dx.doi.org/10.1016/j.dsr.2005.06.005</v>
      </c>
      <c r="BG635" t="s">
        <v>74</v>
      </c>
      <c r="BH635" t="s">
        <v>74</v>
      </c>
      <c r="BI635">
        <v>23</v>
      </c>
      <c r="BJ635" t="s">
        <v>629</v>
      </c>
      <c r="BK635" t="s">
        <v>98</v>
      </c>
      <c r="BL635" t="s">
        <v>629</v>
      </c>
      <c r="BM635" t="s">
        <v>9892</v>
      </c>
      <c r="BN635" t="s">
        <v>74</v>
      </c>
      <c r="BO635" t="s">
        <v>74</v>
      </c>
      <c r="BP635" t="s">
        <v>74</v>
      </c>
      <c r="BQ635" t="s">
        <v>74</v>
      </c>
      <c r="BR635" t="s">
        <v>101</v>
      </c>
      <c r="BS635" t="s">
        <v>9906</v>
      </c>
      <c r="BT635" t="str">
        <f>HYPERLINK("https%3A%2F%2Fwww.webofscience.com%2Fwos%2Fwoscc%2Ffull-record%2FWOS:000232212200004","View Full Record in Web of Science")</f>
        <v>View Full Record in Web of Science</v>
      </c>
    </row>
    <row r="636" spans="1:72" x14ac:dyDescent="0.15">
      <c r="A636" t="s">
        <v>72</v>
      </c>
      <c r="B636" t="s">
        <v>9907</v>
      </c>
      <c r="C636" t="s">
        <v>74</v>
      </c>
      <c r="D636" t="s">
        <v>74</v>
      </c>
      <c r="E636" t="s">
        <v>74</v>
      </c>
      <c r="F636" t="s">
        <v>9907</v>
      </c>
      <c r="G636" t="s">
        <v>74</v>
      </c>
      <c r="H636" t="s">
        <v>74</v>
      </c>
      <c r="I636" t="s">
        <v>9908</v>
      </c>
      <c r="J636" t="s">
        <v>9909</v>
      </c>
      <c r="K636" t="s">
        <v>74</v>
      </c>
      <c r="L636" t="s">
        <v>74</v>
      </c>
      <c r="M636" t="s">
        <v>77</v>
      </c>
      <c r="N636" t="s">
        <v>4570</v>
      </c>
      <c r="O636" t="s">
        <v>74</v>
      </c>
      <c r="P636" t="s">
        <v>74</v>
      </c>
      <c r="Q636" t="s">
        <v>74</v>
      </c>
      <c r="R636" t="s">
        <v>74</v>
      </c>
      <c r="S636" t="s">
        <v>74</v>
      </c>
      <c r="T636" t="s">
        <v>74</v>
      </c>
      <c r="U636" t="s">
        <v>74</v>
      </c>
      <c r="V636" t="s">
        <v>74</v>
      </c>
      <c r="W636" t="s">
        <v>9910</v>
      </c>
      <c r="X636" t="s">
        <v>9911</v>
      </c>
      <c r="Y636" t="s">
        <v>9912</v>
      </c>
      <c r="Z636" t="s">
        <v>74</v>
      </c>
      <c r="AA636" t="s">
        <v>74</v>
      </c>
      <c r="AB636" t="s">
        <v>74</v>
      </c>
      <c r="AC636" t="s">
        <v>74</v>
      </c>
      <c r="AD636" t="s">
        <v>74</v>
      </c>
      <c r="AE636" t="s">
        <v>74</v>
      </c>
      <c r="AF636" t="s">
        <v>74</v>
      </c>
      <c r="AG636">
        <v>1</v>
      </c>
      <c r="AH636">
        <v>0</v>
      </c>
      <c r="AI636">
        <v>0</v>
      </c>
      <c r="AJ636">
        <v>0</v>
      </c>
      <c r="AK636">
        <v>0</v>
      </c>
      <c r="AL636" t="s">
        <v>9909</v>
      </c>
      <c r="AM636" t="s">
        <v>9913</v>
      </c>
      <c r="AN636" t="s">
        <v>9914</v>
      </c>
      <c r="AO636" t="s">
        <v>9915</v>
      </c>
      <c r="AP636" t="s">
        <v>74</v>
      </c>
      <c r="AQ636" t="s">
        <v>74</v>
      </c>
      <c r="AR636" t="s">
        <v>9916</v>
      </c>
      <c r="AS636" t="s">
        <v>9917</v>
      </c>
      <c r="AT636" t="s">
        <v>9746</v>
      </c>
      <c r="AU636">
        <v>2005</v>
      </c>
      <c r="AV636">
        <v>10</v>
      </c>
      <c r="AW636">
        <v>4</v>
      </c>
      <c r="AX636" t="s">
        <v>74</v>
      </c>
      <c r="AY636" t="s">
        <v>74</v>
      </c>
      <c r="AZ636" t="s">
        <v>74</v>
      </c>
      <c r="BA636" t="s">
        <v>74</v>
      </c>
      <c r="BB636">
        <v>797</v>
      </c>
      <c r="BC636">
        <v>799</v>
      </c>
      <c r="BD636" t="s">
        <v>74</v>
      </c>
      <c r="BE636" t="s">
        <v>9918</v>
      </c>
      <c r="BF636" t="str">
        <f>HYPERLINK("http://dx.doi.org/10.1093/envhis/10.4.797","http://dx.doi.org/10.1093/envhis/10.4.797")</f>
        <v>http://dx.doi.org/10.1093/envhis/10.4.797</v>
      </c>
      <c r="BG636" t="s">
        <v>74</v>
      </c>
      <c r="BH636" t="s">
        <v>74</v>
      </c>
      <c r="BI636">
        <v>3</v>
      </c>
      <c r="BJ636" t="s">
        <v>9919</v>
      </c>
      <c r="BK636" t="s">
        <v>9920</v>
      </c>
      <c r="BL636" t="s">
        <v>9921</v>
      </c>
      <c r="BM636" t="s">
        <v>9922</v>
      </c>
      <c r="BN636" t="s">
        <v>74</v>
      </c>
      <c r="BO636" t="s">
        <v>74</v>
      </c>
      <c r="BP636" t="s">
        <v>74</v>
      </c>
      <c r="BQ636" t="s">
        <v>74</v>
      </c>
      <c r="BR636" t="s">
        <v>101</v>
      </c>
      <c r="BS636" t="s">
        <v>9923</v>
      </c>
      <c r="BT636" t="str">
        <f>HYPERLINK("https%3A%2F%2Fwww.webofscience.com%2Fwos%2Fwoscc%2Ffull-record%2FWOS:000233929400010","View Full Record in Web of Science")</f>
        <v>View Full Record in Web of Science</v>
      </c>
    </row>
    <row r="637" spans="1:72" x14ac:dyDescent="0.15">
      <c r="A637" t="s">
        <v>72</v>
      </c>
      <c r="B637" t="s">
        <v>9924</v>
      </c>
      <c r="C637" t="s">
        <v>74</v>
      </c>
      <c r="D637" t="s">
        <v>74</v>
      </c>
      <c r="E637" t="s">
        <v>74</v>
      </c>
      <c r="F637" t="s">
        <v>9924</v>
      </c>
      <c r="G637" t="s">
        <v>74</v>
      </c>
      <c r="H637" t="s">
        <v>74</v>
      </c>
      <c r="I637" t="s">
        <v>9925</v>
      </c>
      <c r="J637" t="s">
        <v>9926</v>
      </c>
      <c r="K637" t="s">
        <v>74</v>
      </c>
      <c r="L637" t="s">
        <v>74</v>
      </c>
      <c r="M637" t="s">
        <v>77</v>
      </c>
      <c r="N637" t="s">
        <v>78</v>
      </c>
      <c r="O637" t="s">
        <v>74</v>
      </c>
      <c r="P637" t="s">
        <v>74</v>
      </c>
      <c r="Q637" t="s">
        <v>74</v>
      </c>
      <c r="R637" t="s">
        <v>74</v>
      </c>
      <c r="S637" t="s">
        <v>74</v>
      </c>
      <c r="T637" t="s">
        <v>9927</v>
      </c>
      <c r="U637" t="s">
        <v>9928</v>
      </c>
      <c r="V637" t="s">
        <v>9929</v>
      </c>
      <c r="W637" t="s">
        <v>9930</v>
      </c>
      <c r="X637" t="s">
        <v>9931</v>
      </c>
      <c r="Y637" t="s">
        <v>9932</v>
      </c>
      <c r="Z637" t="s">
        <v>9933</v>
      </c>
      <c r="AA637" t="s">
        <v>9934</v>
      </c>
      <c r="AB637" t="s">
        <v>9935</v>
      </c>
      <c r="AC637" t="s">
        <v>74</v>
      </c>
      <c r="AD637" t="s">
        <v>74</v>
      </c>
      <c r="AE637" t="s">
        <v>74</v>
      </c>
      <c r="AF637" t="s">
        <v>74</v>
      </c>
      <c r="AG637">
        <v>29</v>
      </c>
      <c r="AH637">
        <v>3</v>
      </c>
      <c r="AI637">
        <v>3</v>
      </c>
      <c r="AJ637">
        <v>1</v>
      </c>
      <c r="AK637">
        <v>3</v>
      </c>
      <c r="AL637" t="s">
        <v>139</v>
      </c>
      <c r="AM637" t="s">
        <v>140</v>
      </c>
      <c r="AN637" t="s">
        <v>141</v>
      </c>
      <c r="AO637" t="s">
        <v>9936</v>
      </c>
      <c r="AP637" t="s">
        <v>9937</v>
      </c>
      <c r="AQ637" t="s">
        <v>74</v>
      </c>
      <c r="AR637" t="s">
        <v>9938</v>
      </c>
      <c r="AS637" t="s">
        <v>9939</v>
      </c>
      <c r="AT637" t="s">
        <v>9746</v>
      </c>
      <c r="AU637">
        <v>2005</v>
      </c>
      <c r="AV637">
        <v>20</v>
      </c>
      <c r="AW637">
        <v>10</v>
      </c>
      <c r="AX637" t="s">
        <v>74</v>
      </c>
      <c r="AY637" t="s">
        <v>74</v>
      </c>
      <c r="AZ637" t="s">
        <v>74</v>
      </c>
      <c r="BA637" t="s">
        <v>74</v>
      </c>
      <c r="BB637">
        <v>1273</v>
      </c>
      <c r="BC637">
        <v>1287</v>
      </c>
      <c r="BD637" t="s">
        <v>74</v>
      </c>
      <c r="BE637" t="s">
        <v>9940</v>
      </c>
      <c r="BF637" t="str">
        <f>HYPERLINK("http://dx.doi.org/10.1016/j.envsoft.2004.09.005","http://dx.doi.org/10.1016/j.envsoft.2004.09.005")</f>
        <v>http://dx.doi.org/10.1016/j.envsoft.2004.09.005</v>
      </c>
      <c r="BG637" t="s">
        <v>74</v>
      </c>
      <c r="BH637" t="s">
        <v>74</v>
      </c>
      <c r="BI637">
        <v>15</v>
      </c>
      <c r="BJ637" t="s">
        <v>9941</v>
      </c>
      <c r="BK637" t="s">
        <v>98</v>
      </c>
      <c r="BL637" t="s">
        <v>9942</v>
      </c>
      <c r="BM637" t="s">
        <v>9943</v>
      </c>
      <c r="BN637" t="s">
        <v>74</v>
      </c>
      <c r="BO637" t="s">
        <v>74</v>
      </c>
      <c r="BP637" t="s">
        <v>74</v>
      </c>
      <c r="BQ637" t="s">
        <v>74</v>
      </c>
      <c r="BR637" t="s">
        <v>101</v>
      </c>
      <c r="BS637" t="s">
        <v>9944</v>
      </c>
      <c r="BT637" t="str">
        <f>HYPERLINK("https%3A%2F%2Fwww.webofscience.com%2Fwos%2Fwoscc%2Ffull-record%2FWOS:000229411800007","View Full Record in Web of Science")</f>
        <v>View Full Record in Web of Science</v>
      </c>
    </row>
    <row r="638" spans="1:72" x14ac:dyDescent="0.15">
      <c r="A638" t="s">
        <v>72</v>
      </c>
      <c r="B638" t="s">
        <v>9945</v>
      </c>
      <c r="C638" t="s">
        <v>74</v>
      </c>
      <c r="D638" t="s">
        <v>74</v>
      </c>
      <c r="E638" t="s">
        <v>74</v>
      </c>
      <c r="F638" t="s">
        <v>9945</v>
      </c>
      <c r="G638" t="s">
        <v>74</v>
      </c>
      <c r="H638" t="s">
        <v>74</v>
      </c>
      <c r="I638" t="s">
        <v>9946</v>
      </c>
      <c r="J638" t="s">
        <v>9926</v>
      </c>
      <c r="K638" t="s">
        <v>74</v>
      </c>
      <c r="L638" t="s">
        <v>74</v>
      </c>
      <c r="M638" t="s">
        <v>77</v>
      </c>
      <c r="N638" t="s">
        <v>78</v>
      </c>
      <c r="O638" t="s">
        <v>74</v>
      </c>
      <c r="P638" t="s">
        <v>74</v>
      </c>
      <c r="Q638" t="s">
        <v>74</v>
      </c>
      <c r="R638" t="s">
        <v>74</v>
      </c>
      <c r="S638" t="s">
        <v>74</v>
      </c>
      <c r="T638" t="s">
        <v>9947</v>
      </c>
      <c r="U638" t="s">
        <v>74</v>
      </c>
      <c r="V638" t="s">
        <v>9948</v>
      </c>
      <c r="W638" t="s">
        <v>9949</v>
      </c>
      <c r="X638" t="s">
        <v>9950</v>
      </c>
      <c r="Y638" t="s">
        <v>74</v>
      </c>
      <c r="Z638" t="s">
        <v>9933</v>
      </c>
      <c r="AA638" t="s">
        <v>74</v>
      </c>
      <c r="AB638" t="s">
        <v>74</v>
      </c>
      <c r="AC638" t="s">
        <v>74</v>
      </c>
      <c r="AD638" t="s">
        <v>74</v>
      </c>
      <c r="AE638" t="s">
        <v>74</v>
      </c>
      <c r="AF638" t="s">
        <v>74</v>
      </c>
      <c r="AG638">
        <v>11</v>
      </c>
      <c r="AH638">
        <v>4</v>
      </c>
      <c r="AI638">
        <v>4</v>
      </c>
      <c r="AJ638">
        <v>0</v>
      </c>
      <c r="AK638">
        <v>2</v>
      </c>
      <c r="AL638" t="s">
        <v>139</v>
      </c>
      <c r="AM638" t="s">
        <v>140</v>
      </c>
      <c r="AN638" t="s">
        <v>141</v>
      </c>
      <c r="AO638" t="s">
        <v>9936</v>
      </c>
      <c r="AP638" t="s">
        <v>9937</v>
      </c>
      <c r="AQ638" t="s">
        <v>74</v>
      </c>
      <c r="AR638" t="s">
        <v>9938</v>
      </c>
      <c r="AS638" t="s">
        <v>9939</v>
      </c>
      <c r="AT638" t="s">
        <v>9746</v>
      </c>
      <c r="AU638">
        <v>2005</v>
      </c>
      <c r="AV638">
        <v>20</v>
      </c>
      <c r="AW638">
        <v>10</v>
      </c>
      <c r="AX638" t="s">
        <v>74</v>
      </c>
      <c r="AY638" t="s">
        <v>74</v>
      </c>
      <c r="AZ638" t="s">
        <v>74</v>
      </c>
      <c r="BA638" t="s">
        <v>74</v>
      </c>
      <c r="BB638">
        <v>1299</v>
      </c>
      <c r="BC638">
        <v>1306</v>
      </c>
      <c r="BD638" t="s">
        <v>74</v>
      </c>
      <c r="BE638" t="s">
        <v>9951</v>
      </c>
      <c r="BF638" t="str">
        <f>HYPERLINK("http://dx.doi.org/10.1016/j.envsoft.2004.09.003","http://dx.doi.org/10.1016/j.envsoft.2004.09.003")</f>
        <v>http://dx.doi.org/10.1016/j.envsoft.2004.09.003</v>
      </c>
      <c r="BG638" t="s">
        <v>74</v>
      </c>
      <c r="BH638" t="s">
        <v>74</v>
      </c>
      <c r="BI638">
        <v>8</v>
      </c>
      <c r="BJ638" t="s">
        <v>9941</v>
      </c>
      <c r="BK638" t="s">
        <v>98</v>
      </c>
      <c r="BL638" t="s">
        <v>9942</v>
      </c>
      <c r="BM638" t="s">
        <v>9943</v>
      </c>
      <c r="BN638" t="s">
        <v>74</v>
      </c>
      <c r="BO638" t="s">
        <v>74</v>
      </c>
      <c r="BP638" t="s">
        <v>74</v>
      </c>
      <c r="BQ638" t="s">
        <v>74</v>
      </c>
      <c r="BR638" t="s">
        <v>101</v>
      </c>
      <c r="BS638" t="s">
        <v>9952</v>
      </c>
      <c r="BT638" t="str">
        <f>HYPERLINK("https%3A%2F%2Fwww.webofscience.com%2Fwos%2Fwoscc%2Ffull-record%2FWOS:000229411800009","View Full Record in Web of Science")</f>
        <v>View Full Record in Web of Science</v>
      </c>
    </row>
    <row r="639" spans="1:72" x14ac:dyDescent="0.15">
      <c r="A639" t="s">
        <v>72</v>
      </c>
      <c r="B639" t="s">
        <v>9953</v>
      </c>
      <c r="C639" t="s">
        <v>74</v>
      </c>
      <c r="D639" t="s">
        <v>74</v>
      </c>
      <c r="E639" t="s">
        <v>74</v>
      </c>
      <c r="F639" t="s">
        <v>9953</v>
      </c>
      <c r="G639" t="s">
        <v>74</v>
      </c>
      <c r="H639" t="s">
        <v>74</v>
      </c>
      <c r="I639" t="s">
        <v>9954</v>
      </c>
      <c r="J639" t="s">
        <v>9955</v>
      </c>
      <c r="K639" t="s">
        <v>74</v>
      </c>
      <c r="L639" t="s">
        <v>74</v>
      </c>
      <c r="M639" t="s">
        <v>77</v>
      </c>
      <c r="N639" t="s">
        <v>335</v>
      </c>
      <c r="O639" t="s">
        <v>9956</v>
      </c>
      <c r="P639" t="s">
        <v>9957</v>
      </c>
      <c r="Q639" t="s">
        <v>9958</v>
      </c>
      <c r="R639" t="s">
        <v>74</v>
      </c>
      <c r="S639" t="s">
        <v>74</v>
      </c>
      <c r="T639" t="s">
        <v>9959</v>
      </c>
      <c r="U639" t="s">
        <v>9960</v>
      </c>
      <c r="V639" t="s">
        <v>9961</v>
      </c>
      <c r="W639" t="s">
        <v>9962</v>
      </c>
      <c r="X639" t="s">
        <v>9963</v>
      </c>
      <c r="Y639" t="s">
        <v>9964</v>
      </c>
      <c r="Z639" t="s">
        <v>9965</v>
      </c>
      <c r="AA639" t="s">
        <v>74</v>
      </c>
      <c r="AB639" t="s">
        <v>3970</v>
      </c>
      <c r="AC639" t="s">
        <v>74</v>
      </c>
      <c r="AD639" t="s">
        <v>74</v>
      </c>
      <c r="AE639" t="s">
        <v>74</v>
      </c>
      <c r="AF639" t="s">
        <v>74</v>
      </c>
      <c r="AG639">
        <v>95</v>
      </c>
      <c r="AH639">
        <v>72</v>
      </c>
      <c r="AI639">
        <v>86</v>
      </c>
      <c r="AJ639">
        <v>1</v>
      </c>
      <c r="AK639">
        <v>37</v>
      </c>
      <c r="AL639" t="s">
        <v>139</v>
      </c>
      <c r="AM639" t="s">
        <v>140</v>
      </c>
      <c r="AN639" t="s">
        <v>141</v>
      </c>
      <c r="AO639" t="s">
        <v>9966</v>
      </c>
      <c r="AP639" t="s">
        <v>9967</v>
      </c>
      <c r="AQ639" t="s">
        <v>74</v>
      </c>
      <c r="AR639" t="s">
        <v>9968</v>
      </c>
      <c r="AS639" t="s">
        <v>9969</v>
      </c>
      <c r="AT639" t="s">
        <v>9746</v>
      </c>
      <c r="AU639">
        <v>2005</v>
      </c>
      <c r="AV639">
        <v>137</v>
      </c>
      <c r="AW639">
        <v>3</v>
      </c>
      <c r="AX639" t="s">
        <v>74</v>
      </c>
      <c r="AY639" t="s">
        <v>74</v>
      </c>
      <c r="AZ639" t="s">
        <v>74</v>
      </c>
      <c r="BA639" t="s">
        <v>74</v>
      </c>
      <c r="BB639">
        <v>428</v>
      </c>
      <c r="BC639">
        <v>442</v>
      </c>
      <c r="BD639" t="s">
        <v>74</v>
      </c>
      <c r="BE639" t="s">
        <v>9970</v>
      </c>
      <c r="BF639" t="str">
        <f>HYPERLINK("http://dx.doi.org/10.1016/j.envpol.2005.01.048","http://dx.doi.org/10.1016/j.envpol.2005.01.048")</f>
        <v>http://dx.doi.org/10.1016/j.envpol.2005.01.048</v>
      </c>
      <c r="BG639" t="s">
        <v>74</v>
      </c>
      <c r="BH639" t="s">
        <v>74</v>
      </c>
      <c r="BI639">
        <v>15</v>
      </c>
      <c r="BJ639" t="s">
        <v>6033</v>
      </c>
      <c r="BK639" t="s">
        <v>1411</v>
      </c>
      <c r="BL639" t="s">
        <v>1155</v>
      </c>
      <c r="BM639" t="s">
        <v>9971</v>
      </c>
      <c r="BN639">
        <v>16005756</v>
      </c>
      <c r="BO639" t="s">
        <v>74</v>
      </c>
      <c r="BP639" t="s">
        <v>74</v>
      </c>
      <c r="BQ639" t="s">
        <v>74</v>
      </c>
      <c r="BR639" t="s">
        <v>101</v>
      </c>
      <c r="BS639" t="s">
        <v>9972</v>
      </c>
      <c r="BT639" t="str">
        <f>HYPERLINK("https%3A%2F%2Fwww.webofscience.com%2Fwos%2Fwoscc%2Ffull-record%2FWOS:000230978800007","View Full Record in Web of Science")</f>
        <v>View Full Record in Web of Science</v>
      </c>
    </row>
    <row r="640" spans="1:72" x14ac:dyDescent="0.15">
      <c r="A640" t="s">
        <v>72</v>
      </c>
      <c r="B640" t="s">
        <v>9973</v>
      </c>
      <c r="C640" t="s">
        <v>74</v>
      </c>
      <c r="D640" t="s">
        <v>74</v>
      </c>
      <c r="E640" t="s">
        <v>74</v>
      </c>
      <c r="F640" t="s">
        <v>9973</v>
      </c>
      <c r="G640" t="s">
        <v>74</v>
      </c>
      <c r="H640" t="s">
        <v>74</v>
      </c>
      <c r="I640" t="s">
        <v>9974</v>
      </c>
      <c r="J640" t="s">
        <v>1308</v>
      </c>
      <c r="K640" t="s">
        <v>74</v>
      </c>
      <c r="L640" t="s">
        <v>74</v>
      </c>
      <c r="M640" t="s">
        <v>77</v>
      </c>
      <c r="N640" t="s">
        <v>78</v>
      </c>
      <c r="O640" t="s">
        <v>74</v>
      </c>
      <c r="P640" t="s">
        <v>74</v>
      </c>
      <c r="Q640" t="s">
        <v>74</v>
      </c>
      <c r="R640" t="s">
        <v>74</v>
      </c>
      <c r="S640" t="s">
        <v>74</v>
      </c>
      <c r="T640" t="s">
        <v>9975</v>
      </c>
      <c r="U640" t="s">
        <v>9976</v>
      </c>
      <c r="V640" t="s">
        <v>9977</v>
      </c>
      <c r="W640" t="s">
        <v>9978</v>
      </c>
      <c r="X640" t="s">
        <v>9979</v>
      </c>
      <c r="Y640" t="s">
        <v>9980</v>
      </c>
      <c r="Z640" t="s">
        <v>9981</v>
      </c>
      <c r="AA640" t="s">
        <v>9982</v>
      </c>
      <c r="AB640" t="s">
        <v>9983</v>
      </c>
      <c r="AC640" t="s">
        <v>74</v>
      </c>
      <c r="AD640" t="s">
        <v>74</v>
      </c>
      <c r="AE640" t="s">
        <v>74</v>
      </c>
      <c r="AF640" t="s">
        <v>74</v>
      </c>
      <c r="AG640">
        <v>23</v>
      </c>
      <c r="AH640">
        <v>18</v>
      </c>
      <c r="AI640">
        <v>21</v>
      </c>
      <c r="AJ640">
        <v>0</v>
      </c>
      <c r="AK640">
        <v>4</v>
      </c>
      <c r="AL640" t="s">
        <v>9984</v>
      </c>
      <c r="AM640" t="s">
        <v>1123</v>
      </c>
      <c r="AN640" t="s">
        <v>9985</v>
      </c>
      <c r="AO640" t="s">
        <v>9986</v>
      </c>
      <c r="AP640" t="s">
        <v>9987</v>
      </c>
      <c r="AQ640" t="s">
        <v>74</v>
      </c>
      <c r="AR640" t="s">
        <v>1308</v>
      </c>
      <c r="AS640" t="s">
        <v>9988</v>
      </c>
      <c r="AT640" t="s">
        <v>9746</v>
      </c>
      <c r="AU640">
        <v>2005</v>
      </c>
      <c r="AV640">
        <v>9</v>
      </c>
      <c r="AW640">
        <v>5</v>
      </c>
      <c r="AX640" t="s">
        <v>74</v>
      </c>
      <c r="AY640" t="s">
        <v>74</v>
      </c>
      <c r="AZ640" t="s">
        <v>74</v>
      </c>
      <c r="BA640" t="s">
        <v>74</v>
      </c>
      <c r="BB640">
        <v>385</v>
      </c>
      <c r="BC640">
        <v>389</v>
      </c>
      <c r="BD640" t="s">
        <v>74</v>
      </c>
      <c r="BE640" t="s">
        <v>9989</v>
      </c>
      <c r="BF640" t="str">
        <f>HYPERLINK("http://dx.doi.org/10.1007/s00792-005-0452-5","http://dx.doi.org/10.1007/s00792-005-0452-5")</f>
        <v>http://dx.doi.org/10.1007/s00792-005-0452-5</v>
      </c>
      <c r="BG640" t="s">
        <v>74</v>
      </c>
      <c r="BH640" t="s">
        <v>74</v>
      </c>
      <c r="BI640">
        <v>5</v>
      </c>
      <c r="BJ640" t="s">
        <v>1326</v>
      </c>
      <c r="BK640" t="s">
        <v>98</v>
      </c>
      <c r="BL640" t="s">
        <v>1326</v>
      </c>
      <c r="BM640" t="s">
        <v>9990</v>
      </c>
      <c r="BN640">
        <v>15947864</v>
      </c>
      <c r="BO640" t="s">
        <v>534</v>
      </c>
      <c r="BP640" t="s">
        <v>74</v>
      </c>
      <c r="BQ640" t="s">
        <v>74</v>
      </c>
      <c r="BR640" t="s">
        <v>101</v>
      </c>
      <c r="BS640" t="s">
        <v>9991</v>
      </c>
      <c r="BT640" t="str">
        <f>HYPERLINK("https%3A%2F%2Fwww.webofscience.com%2Fwos%2Fwoscc%2Ffull-record%2FWOS:000232406400006","View Full Record in Web of Science")</f>
        <v>View Full Record in Web of Science</v>
      </c>
    </row>
    <row r="641" spans="1:72" x14ac:dyDescent="0.15">
      <c r="A641" t="s">
        <v>72</v>
      </c>
      <c r="B641" t="s">
        <v>9992</v>
      </c>
      <c r="C641" t="s">
        <v>74</v>
      </c>
      <c r="D641" t="s">
        <v>74</v>
      </c>
      <c r="E641" t="s">
        <v>74</v>
      </c>
      <c r="F641" t="s">
        <v>9992</v>
      </c>
      <c r="G641" t="s">
        <v>74</v>
      </c>
      <c r="H641" t="s">
        <v>74</v>
      </c>
      <c r="I641" t="s">
        <v>9993</v>
      </c>
      <c r="J641" t="s">
        <v>1560</v>
      </c>
      <c r="K641" t="s">
        <v>74</v>
      </c>
      <c r="L641" t="s">
        <v>74</v>
      </c>
      <c r="M641" t="s">
        <v>77</v>
      </c>
      <c r="N641" t="s">
        <v>78</v>
      </c>
      <c r="O641" t="s">
        <v>74</v>
      </c>
      <c r="P641" t="s">
        <v>74</v>
      </c>
      <c r="Q641" t="s">
        <v>74</v>
      </c>
      <c r="R641" t="s">
        <v>74</v>
      </c>
      <c r="S641" t="s">
        <v>74</v>
      </c>
      <c r="T641" t="s">
        <v>9994</v>
      </c>
      <c r="U641" t="s">
        <v>9995</v>
      </c>
      <c r="V641" t="s">
        <v>9996</v>
      </c>
      <c r="W641" t="s">
        <v>9997</v>
      </c>
      <c r="X641" t="s">
        <v>9998</v>
      </c>
      <c r="Y641" t="s">
        <v>9999</v>
      </c>
      <c r="Z641" t="s">
        <v>74</v>
      </c>
      <c r="AA641" t="s">
        <v>74</v>
      </c>
      <c r="AB641" t="s">
        <v>10000</v>
      </c>
      <c r="AC641" t="s">
        <v>74</v>
      </c>
      <c r="AD641" t="s">
        <v>74</v>
      </c>
      <c r="AE641" t="s">
        <v>74</v>
      </c>
      <c r="AF641" t="s">
        <v>74</v>
      </c>
      <c r="AG641">
        <v>34</v>
      </c>
      <c r="AH641">
        <v>44</v>
      </c>
      <c r="AI641">
        <v>48</v>
      </c>
      <c r="AJ641">
        <v>0</v>
      </c>
      <c r="AK641">
        <v>8</v>
      </c>
      <c r="AL641" t="s">
        <v>1569</v>
      </c>
      <c r="AM641" t="s">
        <v>605</v>
      </c>
      <c r="AN641" t="s">
        <v>1570</v>
      </c>
      <c r="AO641" t="s">
        <v>1571</v>
      </c>
      <c r="AP641" t="s">
        <v>1572</v>
      </c>
      <c r="AQ641" t="s">
        <v>74</v>
      </c>
      <c r="AR641" t="s">
        <v>1560</v>
      </c>
      <c r="AS641" t="s">
        <v>1130</v>
      </c>
      <c r="AT641" t="s">
        <v>9746</v>
      </c>
      <c r="AU641">
        <v>2005</v>
      </c>
      <c r="AV641">
        <v>33</v>
      </c>
      <c r="AW641">
        <v>10</v>
      </c>
      <c r="AX641" t="s">
        <v>74</v>
      </c>
      <c r="AY641" t="s">
        <v>74</v>
      </c>
      <c r="AZ641" t="s">
        <v>74</v>
      </c>
      <c r="BA641" t="s">
        <v>74</v>
      </c>
      <c r="BB641">
        <v>769</v>
      </c>
      <c r="BC641">
        <v>772</v>
      </c>
      <c r="BD641" t="s">
        <v>74</v>
      </c>
      <c r="BE641" t="s">
        <v>10001</v>
      </c>
      <c r="BF641" t="str">
        <f>HYPERLINK("http://dx.doi.org/10.1130/G21671.1","http://dx.doi.org/10.1130/G21671.1")</f>
        <v>http://dx.doi.org/10.1130/G21671.1</v>
      </c>
      <c r="BG641" t="s">
        <v>74</v>
      </c>
      <c r="BH641" t="s">
        <v>74</v>
      </c>
      <c r="BI641">
        <v>4</v>
      </c>
      <c r="BJ641" t="s">
        <v>1130</v>
      </c>
      <c r="BK641" t="s">
        <v>98</v>
      </c>
      <c r="BL641" t="s">
        <v>1130</v>
      </c>
      <c r="BM641" t="s">
        <v>10002</v>
      </c>
      <c r="BN641" t="s">
        <v>74</v>
      </c>
      <c r="BO641" t="s">
        <v>74</v>
      </c>
      <c r="BP641" t="s">
        <v>74</v>
      </c>
      <c r="BQ641" t="s">
        <v>74</v>
      </c>
      <c r="BR641" t="s">
        <v>101</v>
      </c>
      <c r="BS641" t="s">
        <v>10003</v>
      </c>
      <c r="BT641" t="str">
        <f>HYPERLINK("https%3A%2F%2Fwww.webofscience.com%2Fwos%2Fwoscc%2Ffull-record%2FWOS:000232252400003","View Full Record in Web of Science")</f>
        <v>View Full Record in Web of Science</v>
      </c>
    </row>
    <row r="642" spans="1:72" x14ac:dyDescent="0.15">
      <c r="A642" t="s">
        <v>72</v>
      </c>
      <c r="B642" t="s">
        <v>10004</v>
      </c>
      <c r="C642" t="s">
        <v>74</v>
      </c>
      <c r="D642" t="s">
        <v>74</v>
      </c>
      <c r="E642" t="s">
        <v>74</v>
      </c>
      <c r="F642" t="s">
        <v>10004</v>
      </c>
      <c r="G642" t="s">
        <v>74</v>
      </c>
      <c r="H642" t="s">
        <v>74</v>
      </c>
      <c r="I642" t="s">
        <v>10005</v>
      </c>
      <c r="J642" t="s">
        <v>6204</v>
      </c>
      <c r="K642" t="s">
        <v>74</v>
      </c>
      <c r="L642" t="s">
        <v>74</v>
      </c>
      <c r="M642" t="s">
        <v>77</v>
      </c>
      <c r="N642" t="s">
        <v>78</v>
      </c>
      <c r="O642" t="s">
        <v>74</v>
      </c>
      <c r="P642" t="s">
        <v>74</v>
      </c>
      <c r="Q642" t="s">
        <v>74</v>
      </c>
      <c r="R642" t="s">
        <v>74</v>
      </c>
      <c r="S642" t="s">
        <v>74</v>
      </c>
      <c r="T642" t="s">
        <v>10006</v>
      </c>
      <c r="U642" t="s">
        <v>10007</v>
      </c>
      <c r="V642" t="s">
        <v>10008</v>
      </c>
      <c r="W642" t="s">
        <v>10009</v>
      </c>
      <c r="X642" t="s">
        <v>10010</v>
      </c>
      <c r="Y642" t="s">
        <v>10011</v>
      </c>
      <c r="Z642" t="s">
        <v>10012</v>
      </c>
      <c r="AA642" t="s">
        <v>10013</v>
      </c>
      <c r="AB642" t="s">
        <v>10014</v>
      </c>
      <c r="AC642" t="s">
        <v>74</v>
      </c>
      <c r="AD642" t="s">
        <v>74</v>
      </c>
      <c r="AE642" t="s">
        <v>74</v>
      </c>
      <c r="AF642" t="s">
        <v>74</v>
      </c>
      <c r="AG642">
        <v>65</v>
      </c>
      <c r="AH642">
        <v>60</v>
      </c>
      <c r="AI642">
        <v>65</v>
      </c>
      <c r="AJ642">
        <v>0</v>
      </c>
      <c r="AK642">
        <v>43</v>
      </c>
      <c r="AL642" t="s">
        <v>2025</v>
      </c>
      <c r="AM642" t="s">
        <v>2026</v>
      </c>
      <c r="AN642" t="s">
        <v>2027</v>
      </c>
      <c r="AO642" t="s">
        <v>6214</v>
      </c>
      <c r="AP642" t="s">
        <v>6215</v>
      </c>
      <c r="AQ642" t="s">
        <v>74</v>
      </c>
      <c r="AR642" t="s">
        <v>6216</v>
      </c>
      <c r="AS642" t="s">
        <v>6217</v>
      </c>
      <c r="AT642" t="s">
        <v>9746</v>
      </c>
      <c r="AU642">
        <v>2005</v>
      </c>
      <c r="AV642">
        <v>11</v>
      </c>
      <c r="AW642">
        <v>10</v>
      </c>
      <c r="AX642" t="s">
        <v>74</v>
      </c>
      <c r="AY642" t="s">
        <v>74</v>
      </c>
      <c r="AZ642" t="s">
        <v>74</v>
      </c>
      <c r="BA642" t="s">
        <v>74</v>
      </c>
      <c r="BB642">
        <v>1628</v>
      </c>
      <c r="BC642">
        <v>1639</v>
      </c>
      <c r="BD642" t="s">
        <v>74</v>
      </c>
      <c r="BE642" t="s">
        <v>10015</v>
      </c>
      <c r="BF642" t="str">
        <f>HYPERLINK("http://dx.doi.org/10.1111/j.1365-2486.2005.001022.x","http://dx.doi.org/10.1111/j.1365-2486.2005.001022.x")</f>
        <v>http://dx.doi.org/10.1111/j.1365-2486.2005.001022.x</v>
      </c>
      <c r="BG642" t="s">
        <v>74</v>
      </c>
      <c r="BH642" t="s">
        <v>74</v>
      </c>
      <c r="BI642">
        <v>12</v>
      </c>
      <c r="BJ642" t="s">
        <v>146</v>
      </c>
      <c r="BK642" t="s">
        <v>98</v>
      </c>
      <c r="BL642" t="s">
        <v>147</v>
      </c>
      <c r="BM642" t="s">
        <v>10016</v>
      </c>
      <c r="BN642" t="s">
        <v>74</v>
      </c>
      <c r="BO642" t="s">
        <v>74</v>
      </c>
      <c r="BP642" t="s">
        <v>74</v>
      </c>
      <c r="BQ642" t="s">
        <v>74</v>
      </c>
      <c r="BR642" t="s">
        <v>101</v>
      </c>
      <c r="BS642" t="s">
        <v>10017</v>
      </c>
      <c r="BT642" t="str">
        <f>HYPERLINK("https%3A%2F%2Fwww.webofscience.com%2Fwos%2Fwoscc%2Ffull-record%2FWOS:000232390200007","View Full Record in Web of Science")</f>
        <v>View Full Record in Web of Science</v>
      </c>
    </row>
    <row r="643" spans="1:72" x14ac:dyDescent="0.15">
      <c r="A643" t="s">
        <v>72</v>
      </c>
      <c r="B643" t="s">
        <v>10018</v>
      </c>
      <c r="C643" t="s">
        <v>74</v>
      </c>
      <c r="D643" t="s">
        <v>74</v>
      </c>
      <c r="E643" t="s">
        <v>74</v>
      </c>
      <c r="F643" t="s">
        <v>10018</v>
      </c>
      <c r="G643" t="s">
        <v>74</v>
      </c>
      <c r="H643" t="s">
        <v>74</v>
      </c>
      <c r="I643" t="s">
        <v>10019</v>
      </c>
      <c r="J643" t="s">
        <v>10020</v>
      </c>
      <c r="K643" t="s">
        <v>74</v>
      </c>
      <c r="L643" t="s">
        <v>74</v>
      </c>
      <c r="M643" t="s">
        <v>77</v>
      </c>
      <c r="N643" t="s">
        <v>335</v>
      </c>
      <c r="O643" t="s">
        <v>10021</v>
      </c>
      <c r="P643" t="s">
        <v>10022</v>
      </c>
      <c r="Q643" t="s">
        <v>10023</v>
      </c>
      <c r="R643" t="s">
        <v>74</v>
      </c>
      <c r="S643" t="s">
        <v>10024</v>
      </c>
      <c r="T643" t="s">
        <v>10025</v>
      </c>
      <c r="U643" t="s">
        <v>10026</v>
      </c>
      <c r="V643" t="s">
        <v>10027</v>
      </c>
      <c r="W643" t="s">
        <v>10028</v>
      </c>
      <c r="X643" t="s">
        <v>10029</v>
      </c>
      <c r="Y643" t="s">
        <v>10030</v>
      </c>
      <c r="Z643" t="s">
        <v>10031</v>
      </c>
      <c r="AA643" t="s">
        <v>74</v>
      </c>
      <c r="AB643" t="s">
        <v>10032</v>
      </c>
      <c r="AC643" t="s">
        <v>74</v>
      </c>
      <c r="AD643" t="s">
        <v>74</v>
      </c>
      <c r="AE643" t="s">
        <v>74</v>
      </c>
      <c r="AF643" t="s">
        <v>74</v>
      </c>
      <c r="AG643">
        <v>72</v>
      </c>
      <c r="AH643">
        <v>21</v>
      </c>
      <c r="AI643">
        <v>24</v>
      </c>
      <c r="AJ643">
        <v>5</v>
      </c>
      <c r="AK643">
        <v>41</v>
      </c>
      <c r="AL643" t="s">
        <v>4409</v>
      </c>
      <c r="AM643" t="s">
        <v>4410</v>
      </c>
      <c r="AN643" t="s">
        <v>4411</v>
      </c>
      <c r="AO643" t="s">
        <v>10033</v>
      </c>
      <c r="AP643" t="s">
        <v>10034</v>
      </c>
      <c r="AQ643" t="s">
        <v>74</v>
      </c>
      <c r="AR643" t="s">
        <v>10020</v>
      </c>
      <c r="AS643" t="s">
        <v>10035</v>
      </c>
      <c r="AT643" t="s">
        <v>9746</v>
      </c>
      <c r="AU643">
        <v>2005</v>
      </c>
      <c r="AV643">
        <v>177</v>
      </c>
      <c r="AW643">
        <v>2</v>
      </c>
      <c r="AX643" t="s">
        <v>74</v>
      </c>
      <c r="AY643" t="s">
        <v>74</v>
      </c>
      <c r="AZ643" t="s">
        <v>74</v>
      </c>
      <c r="BA643" t="s">
        <v>74</v>
      </c>
      <c r="BB643">
        <v>515</v>
      </c>
      <c r="BC643">
        <v>527</v>
      </c>
      <c r="BD643" t="s">
        <v>74</v>
      </c>
      <c r="BE643" t="s">
        <v>10036</v>
      </c>
      <c r="BF643" t="str">
        <f>HYPERLINK("http://dx.doi.org/10.1016/j.icarus.2005.04.010","http://dx.doi.org/10.1016/j.icarus.2005.04.010")</f>
        <v>http://dx.doi.org/10.1016/j.icarus.2005.04.010</v>
      </c>
      <c r="BG643" t="s">
        <v>74</v>
      </c>
      <c r="BH643" t="s">
        <v>74</v>
      </c>
      <c r="BI643">
        <v>13</v>
      </c>
      <c r="BJ643" t="s">
        <v>4376</v>
      </c>
      <c r="BK643" t="s">
        <v>1411</v>
      </c>
      <c r="BL643" t="s">
        <v>4376</v>
      </c>
      <c r="BM643" t="s">
        <v>10037</v>
      </c>
      <c r="BN643" t="s">
        <v>74</v>
      </c>
      <c r="BO643" t="s">
        <v>74</v>
      </c>
      <c r="BP643" t="s">
        <v>74</v>
      </c>
      <c r="BQ643" t="s">
        <v>74</v>
      </c>
      <c r="BR643" t="s">
        <v>101</v>
      </c>
      <c r="BS643" t="s">
        <v>10038</v>
      </c>
      <c r="BT643" t="str">
        <f>HYPERLINK("https%3A%2F%2Fwww.webofscience.com%2Fwos%2Fwoscc%2Ffull-record%2FWOS:000232577100017","View Full Record in Web of Science")</f>
        <v>View Full Record in Web of Science</v>
      </c>
    </row>
    <row r="644" spans="1:72" x14ac:dyDescent="0.15">
      <c r="A644" t="s">
        <v>72</v>
      </c>
      <c r="B644" t="s">
        <v>10039</v>
      </c>
      <c r="C644" t="s">
        <v>74</v>
      </c>
      <c r="D644" t="s">
        <v>74</v>
      </c>
      <c r="E644" t="s">
        <v>74</v>
      </c>
      <c r="F644" t="s">
        <v>10039</v>
      </c>
      <c r="G644" t="s">
        <v>74</v>
      </c>
      <c r="H644" t="s">
        <v>74</v>
      </c>
      <c r="I644" t="s">
        <v>10040</v>
      </c>
      <c r="J644" t="s">
        <v>10041</v>
      </c>
      <c r="K644" t="s">
        <v>74</v>
      </c>
      <c r="L644" t="s">
        <v>74</v>
      </c>
      <c r="M644" t="s">
        <v>77</v>
      </c>
      <c r="N644" t="s">
        <v>78</v>
      </c>
      <c r="O644" t="s">
        <v>74</v>
      </c>
      <c r="P644" t="s">
        <v>74</v>
      </c>
      <c r="Q644" t="s">
        <v>74</v>
      </c>
      <c r="R644" t="s">
        <v>74</v>
      </c>
      <c r="S644" t="s">
        <v>74</v>
      </c>
      <c r="T644" t="s">
        <v>10042</v>
      </c>
      <c r="U644" t="s">
        <v>10043</v>
      </c>
      <c r="V644" t="s">
        <v>10044</v>
      </c>
      <c r="W644" t="s">
        <v>10045</v>
      </c>
      <c r="X644" t="s">
        <v>10046</v>
      </c>
      <c r="Y644" t="s">
        <v>10047</v>
      </c>
      <c r="Z644" t="s">
        <v>10048</v>
      </c>
      <c r="AA644" t="s">
        <v>74</v>
      </c>
      <c r="AB644" t="s">
        <v>74</v>
      </c>
      <c r="AC644" t="s">
        <v>74</v>
      </c>
      <c r="AD644" t="s">
        <v>74</v>
      </c>
      <c r="AE644" t="s">
        <v>74</v>
      </c>
      <c r="AF644" t="s">
        <v>74</v>
      </c>
      <c r="AG644">
        <v>34</v>
      </c>
      <c r="AH644">
        <v>71</v>
      </c>
      <c r="AI644">
        <v>78</v>
      </c>
      <c r="AJ644">
        <v>0</v>
      </c>
      <c r="AK644">
        <v>21</v>
      </c>
      <c r="AL644" t="s">
        <v>2025</v>
      </c>
      <c r="AM644" t="s">
        <v>2026</v>
      </c>
      <c r="AN644" t="s">
        <v>2027</v>
      </c>
      <c r="AO644" t="s">
        <v>10049</v>
      </c>
      <c r="AP644" t="s">
        <v>10050</v>
      </c>
      <c r="AQ644" t="s">
        <v>74</v>
      </c>
      <c r="AR644" t="s">
        <v>10051</v>
      </c>
      <c r="AS644" t="s">
        <v>10052</v>
      </c>
      <c r="AT644" t="s">
        <v>9746</v>
      </c>
      <c r="AU644">
        <v>2005</v>
      </c>
      <c r="AV644">
        <v>32</v>
      </c>
      <c r="AW644">
        <v>10</v>
      </c>
      <c r="AX644" t="s">
        <v>74</v>
      </c>
      <c r="AY644" t="s">
        <v>74</v>
      </c>
      <c r="AZ644" t="s">
        <v>74</v>
      </c>
      <c r="BA644" t="s">
        <v>74</v>
      </c>
      <c r="BB644">
        <v>1791</v>
      </c>
      <c r="BC644">
        <v>1798</v>
      </c>
      <c r="BD644" t="s">
        <v>74</v>
      </c>
      <c r="BE644" t="s">
        <v>10053</v>
      </c>
      <c r="BF644" t="str">
        <f>HYPERLINK("http://dx.doi.org/10.1111/j.1365-2699.2005.01325.x","http://dx.doi.org/10.1111/j.1365-2699.2005.01325.x")</f>
        <v>http://dx.doi.org/10.1111/j.1365-2699.2005.01325.x</v>
      </c>
      <c r="BG644" t="s">
        <v>74</v>
      </c>
      <c r="BH644" t="s">
        <v>74</v>
      </c>
      <c r="BI644">
        <v>8</v>
      </c>
      <c r="BJ644" t="s">
        <v>8668</v>
      </c>
      <c r="BK644" t="s">
        <v>98</v>
      </c>
      <c r="BL644" t="s">
        <v>8007</v>
      </c>
      <c r="BM644" t="s">
        <v>10054</v>
      </c>
      <c r="BN644" t="s">
        <v>74</v>
      </c>
      <c r="BO644" t="s">
        <v>74</v>
      </c>
      <c r="BP644" t="s">
        <v>74</v>
      </c>
      <c r="BQ644" t="s">
        <v>74</v>
      </c>
      <c r="BR644" t="s">
        <v>101</v>
      </c>
      <c r="BS644" t="s">
        <v>10055</v>
      </c>
      <c r="BT644" t="str">
        <f>HYPERLINK("https%3A%2F%2Fwww.webofscience.com%2Fwos%2Fwoscc%2Ffull-record%2FWOS:000231904100009","View Full Record in Web of Science")</f>
        <v>View Full Record in Web of Science</v>
      </c>
    </row>
    <row r="645" spans="1:72" x14ac:dyDescent="0.15">
      <c r="A645" t="s">
        <v>72</v>
      </c>
      <c r="B645" t="s">
        <v>10056</v>
      </c>
      <c r="C645" t="s">
        <v>74</v>
      </c>
      <c r="D645" t="s">
        <v>74</v>
      </c>
      <c r="E645" t="s">
        <v>74</v>
      </c>
      <c r="F645" t="s">
        <v>10056</v>
      </c>
      <c r="G645" t="s">
        <v>74</v>
      </c>
      <c r="H645" t="s">
        <v>74</v>
      </c>
      <c r="I645" t="s">
        <v>10057</v>
      </c>
      <c r="J645" t="s">
        <v>8800</v>
      </c>
      <c r="K645" t="s">
        <v>74</v>
      </c>
      <c r="L645" t="s">
        <v>74</v>
      </c>
      <c r="M645" t="s">
        <v>77</v>
      </c>
      <c r="N645" t="s">
        <v>78</v>
      </c>
      <c r="O645" t="s">
        <v>74</v>
      </c>
      <c r="P645" t="s">
        <v>74</v>
      </c>
      <c r="Q645" t="s">
        <v>74</v>
      </c>
      <c r="R645" t="s">
        <v>74</v>
      </c>
      <c r="S645" t="s">
        <v>74</v>
      </c>
      <c r="T645" t="s">
        <v>74</v>
      </c>
      <c r="U645" t="s">
        <v>10058</v>
      </c>
      <c r="V645" t="s">
        <v>10059</v>
      </c>
      <c r="W645" t="s">
        <v>10060</v>
      </c>
      <c r="X645" t="s">
        <v>10061</v>
      </c>
      <c r="Y645" t="s">
        <v>10062</v>
      </c>
      <c r="Z645" t="s">
        <v>10063</v>
      </c>
      <c r="AA645" t="s">
        <v>74</v>
      </c>
      <c r="AB645" t="s">
        <v>74</v>
      </c>
      <c r="AC645" t="s">
        <v>74</v>
      </c>
      <c r="AD645" t="s">
        <v>74</v>
      </c>
      <c r="AE645" t="s">
        <v>74</v>
      </c>
      <c r="AF645" t="s">
        <v>74</v>
      </c>
      <c r="AG645">
        <v>45</v>
      </c>
      <c r="AH645">
        <v>354</v>
      </c>
      <c r="AI645">
        <v>409</v>
      </c>
      <c r="AJ645">
        <v>2</v>
      </c>
      <c r="AK645">
        <v>58</v>
      </c>
      <c r="AL645" t="s">
        <v>6583</v>
      </c>
      <c r="AM645" t="s">
        <v>6584</v>
      </c>
      <c r="AN645" t="s">
        <v>6585</v>
      </c>
      <c r="AO645" t="s">
        <v>8807</v>
      </c>
      <c r="AP645" t="s">
        <v>8808</v>
      </c>
      <c r="AQ645" t="s">
        <v>74</v>
      </c>
      <c r="AR645" t="s">
        <v>8809</v>
      </c>
      <c r="AS645" t="s">
        <v>8810</v>
      </c>
      <c r="AT645" t="s">
        <v>9746</v>
      </c>
      <c r="AU645">
        <v>2005</v>
      </c>
      <c r="AV645">
        <v>18</v>
      </c>
      <c r="AW645">
        <v>20</v>
      </c>
      <c r="AX645" t="s">
        <v>74</v>
      </c>
      <c r="AY645" t="s">
        <v>74</v>
      </c>
      <c r="AZ645" t="s">
        <v>74</v>
      </c>
      <c r="BA645" t="s">
        <v>74</v>
      </c>
      <c r="BB645">
        <v>4108</v>
      </c>
      <c r="BC645">
        <v>4129</v>
      </c>
      <c r="BD645" t="s">
        <v>74</v>
      </c>
      <c r="BE645" t="s">
        <v>10064</v>
      </c>
      <c r="BF645" t="str">
        <f>HYPERLINK("http://dx.doi.org/10.1175/JCLI3570.1","http://dx.doi.org/10.1175/JCLI3570.1")</f>
        <v>http://dx.doi.org/10.1175/JCLI3570.1</v>
      </c>
      <c r="BG645" t="s">
        <v>74</v>
      </c>
      <c r="BH645" t="s">
        <v>74</v>
      </c>
      <c r="BI645">
        <v>22</v>
      </c>
      <c r="BJ645" t="s">
        <v>2033</v>
      </c>
      <c r="BK645" t="s">
        <v>98</v>
      </c>
      <c r="BL645" t="s">
        <v>2033</v>
      </c>
      <c r="BM645" t="s">
        <v>10065</v>
      </c>
      <c r="BN645" t="s">
        <v>74</v>
      </c>
      <c r="BO645" t="s">
        <v>1900</v>
      </c>
      <c r="BP645" t="s">
        <v>74</v>
      </c>
      <c r="BQ645" t="s">
        <v>74</v>
      </c>
      <c r="BR645" t="s">
        <v>101</v>
      </c>
      <c r="BS645" t="s">
        <v>10066</v>
      </c>
      <c r="BT645" t="str">
        <f>HYPERLINK("https%3A%2F%2Fwww.webofscience.com%2Fwos%2Fwoscc%2Ffull-record%2FWOS:000233301300002","View Full Record in Web of Science")</f>
        <v>View Full Record in Web of Science</v>
      </c>
    </row>
    <row r="646" spans="1:72" x14ac:dyDescent="0.15">
      <c r="A646" t="s">
        <v>72</v>
      </c>
      <c r="B646" t="s">
        <v>10067</v>
      </c>
      <c r="C646" t="s">
        <v>74</v>
      </c>
      <c r="D646" t="s">
        <v>74</v>
      </c>
      <c r="E646" t="s">
        <v>74</v>
      </c>
      <c r="F646" t="s">
        <v>10067</v>
      </c>
      <c r="G646" t="s">
        <v>74</v>
      </c>
      <c r="H646" t="s">
        <v>74</v>
      </c>
      <c r="I646" t="s">
        <v>10068</v>
      </c>
      <c r="J646" t="s">
        <v>8800</v>
      </c>
      <c r="K646" t="s">
        <v>74</v>
      </c>
      <c r="L646" t="s">
        <v>74</v>
      </c>
      <c r="M646" t="s">
        <v>77</v>
      </c>
      <c r="N646" t="s">
        <v>78</v>
      </c>
      <c r="O646" t="s">
        <v>74</v>
      </c>
      <c r="P646" t="s">
        <v>74</v>
      </c>
      <c r="Q646" t="s">
        <v>74</v>
      </c>
      <c r="R646" t="s">
        <v>74</v>
      </c>
      <c r="S646" t="s">
        <v>74</v>
      </c>
      <c r="T646" t="s">
        <v>74</v>
      </c>
      <c r="U646" t="s">
        <v>10069</v>
      </c>
      <c r="V646" t="s">
        <v>10070</v>
      </c>
      <c r="W646" t="s">
        <v>10071</v>
      </c>
      <c r="X646" t="s">
        <v>10072</v>
      </c>
      <c r="Y646" t="s">
        <v>10073</v>
      </c>
      <c r="Z646" t="s">
        <v>10074</v>
      </c>
      <c r="AA646" t="s">
        <v>74</v>
      </c>
      <c r="AB646" t="s">
        <v>74</v>
      </c>
      <c r="AC646" t="s">
        <v>74</v>
      </c>
      <c r="AD646" t="s">
        <v>74</v>
      </c>
      <c r="AE646" t="s">
        <v>74</v>
      </c>
      <c r="AF646" t="s">
        <v>74</v>
      </c>
      <c r="AG646">
        <v>46</v>
      </c>
      <c r="AH646">
        <v>36</v>
      </c>
      <c r="AI646">
        <v>41</v>
      </c>
      <c r="AJ646">
        <v>1</v>
      </c>
      <c r="AK646">
        <v>11</v>
      </c>
      <c r="AL646" t="s">
        <v>6583</v>
      </c>
      <c r="AM646" t="s">
        <v>6584</v>
      </c>
      <c r="AN646" t="s">
        <v>6585</v>
      </c>
      <c r="AO646" t="s">
        <v>8807</v>
      </c>
      <c r="AP646" t="s">
        <v>8808</v>
      </c>
      <c r="AQ646" t="s">
        <v>74</v>
      </c>
      <c r="AR646" t="s">
        <v>8809</v>
      </c>
      <c r="AS646" t="s">
        <v>8810</v>
      </c>
      <c r="AT646" t="s">
        <v>9746</v>
      </c>
      <c r="AU646">
        <v>2005</v>
      </c>
      <c r="AV646">
        <v>18</v>
      </c>
      <c r="AW646">
        <v>20</v>
      </c>
      <c r="AX646" t="s">
        <v>74</v>
      </c>
      <c r="AY646" t="s">
        <v>74</v>
      </c>
      <c r="AZ646" t="s">
        <v>74</v>
      </c>
      <c r="BA646" t="s">
        <v>74</v>
      </c>
      <c r="BB646">
        <v>4235</v>
      </c>
      <c r="BC646">
        <v>4252</v>
      </c>
      <c r="BD646" t="s">
        <v>74</v>
      </c>
      <c r="BE646" t="s">
        <v>10075</v>
      </c>
      <c r="BF646" t="str">
        <f>HYPERLINK("http://dx.doi.org/10.1175/JCLI3525.1","http://dx.doi.org/10.1175/JCLI3525.1")</f>
        <v>http://dx.doi.org/10.1175/JCLI3525.1</v>
      </c>
      <c r="BG646" t="s">
        <v>74</v>
      </c>
      <c r="BH646" t="s">
        <v>74</v>
      </c>
      <c r="BI646">
        <v>18</v>
      </c>
      <c r="BJ646" t="s">
        <v>2033</v>
      </c>
      <c r="BK646" t="s">
        <v>98</v>
      </c>
      <c r="BL646" t="s">
        <v>2033</v>
      </c>
      <c r="BM646" t="s">
        <v>10065</v>
      </c>
      <c r="BN646" t="s">
        <v>74</v>
      </c>
      <c r="BO646" t="s">
        <v>1132</v>
      </c>
      <c r="BP646" t="s">
        <v>74</v>
      </c>
      <c r="BQ646" t="s">
        <v>74</v>
      </c>
      <c r="BR646" t="s">
        <v>101</v>
      </c>
      <c r="BS646" t="s">
        <v>10076</v>
      </c>
      <c r="BT646" t="str">
        <f>HYPERLINK("https%3A%2F%2Fwww.webofscience.com%2Fwos%2Fwoscc%2Ffull-record%2FWOS:000233301300009","View Full Record in Web of Science")</f>
        <v>View Full Record in Web of Science</v>
      </c>
    </row>
    <row r="647" spans="1:72" x14ac:dyDescent="0.15">
      <c r="A647" t="s">
        <v>72</v>
      </c>
      <c r="B647" t="s">
        <v>10077</v>
      </c>
      <c r="C647" t="s">
        <v>74</v>
      </c>
      <c r="D647" t="s">
        <v>74</v>
      </c>
      <c r="E647" t="s">
        <v>74</v>
      </c>
      <c r="F647" t="s">
        <v>10077</v>
      </c>
      <c r="G647" t="s">
        <v>74</v>
      </c>
      <c r="H647" t="s">
        <v>74</v>
      </c>
      <c r="I647" t="s">
        <v>10078</v>
      </c>
      <c r="J647" t="s">
        <v>10079</v>
      </c>
      <c r="K647" t="s">
        <v>74</v>
      </c>
      <c r="L647" t="s">
        <v>74</v>
      </c>
      <c r="M647" t="s">
        <v>77</v>
      </c>
      <c r="N647" t="s">
        <v>78</v>
      </c>
      <c r="O647" t="s">
        <v>74</v>
      </c>
      <c r="P647" t="s">
        <v>74</v>
      </c>
      <c r="Q647" t="s">
        <v>74</v>
      </c>
      <c r="R647" t="s">
        <v>74</v>
      </c>
      <c r="S647" t="s">
        <v>74</v>
      </c>
      <c r="T647" t="s">
        <v>10080</v>
      </c>
      <c r="U647" t="s">
        <v>10081</v>
      </c>
      <c r="V647" t="s">
        <v>10082</v>
      </c>
      <c r="W647" t="s">
        <v>10083</v>
      </c>
      <c r="X647" t="s">
        <v>10084</v>
      </c>
      <c r="Y647" t="s">
        <v>10085</v>
      </c>
      <c r="Z647" t="s">
        <v>74</v>
      </c>
      <c r="AA647" t="s">
        <v>10086</v>
      </c>
      <c r="AB647" t="s">
        <v>10087</v>
      </c>
      <c r="AC647" t="s">
        <v>74</v>
      </c>
      <c r="AD647" t="s">
        <v>74</v>
      </c>
      <c r="AE647" t="s">
        <v>74</v>
      </c>
      <c r="AF647" t="s">
        <v>74</v>
      </c>
      <c r="AG647">
        <v>26</v>
      </c>
      <c r="AH647">
        <v>15</v>
      </c>
      <c r="AI647">
        <v>15</v>
      </c>
      <c r="AJ647">
        <v>0</v>
      </c>
      <c r="AK647">
        <v>6</v>
      </c>
      <c r="AL647" t="s">
        <v>5485</v>
      </c>
      <c r="AM647" t="s">
        <v>5486</v>
      </c>
      <c r="AN647" t="s">
        <v>5487</v>
      </c>
      <c r="AO647" t="s">
        <v>10088</v>
      </c>
      <c r="AP647" t="s">
        <v>10089</v>
      </c>
      <c r="AQ647" t="s">
        <v>74</v>
      </c>
      <c r="AR647" t="s">
        <v>10090</v>
      </c>
      <c r="AS647" t="s">
        <v>10091</v>
      </c>
      <c r="AT647" t="s">
        <v>9746</v>
      </c>
      <c r="AU647">
        <v>2005</v>
      </c>
      <c r="AV647">
        <v>114</v>
      </c>
      <c r="AW647">
        <v>5</v>
      </c>
      <c r="AX647" t="s">
        <v>74</v>
      </c>
      <c r="AY647" t="s">
        <v>74</v>
      </c>
      <c r="AZ647" t="s">
        <v>74</v>
      </c>
      <c r="BA647" t="s">
        <v>74</v>
      </c>
      <c r="BB647">
        <v>443</v>
      </c>
      <c r="BC647">
        <v>452</v>
      </c>
      <c r="BD647" t="s">
        <v>74</v>
      </c>
      <c r="BE647" t="s">
        <v>10092</v>
      </c>
      <c r="BF647" t="str">
        <f>HYPERLINK("http://dx.doi.org/10.1007/BF02702021","http://dx.doi.org/10.1007/BF02702021")</f>
        <v>http://dx.doi.org/10.1007/BF02702021</v>
      </c>
      <c r="BG647" t="s">
        <v>74</v>
      </c>
      <c r="BH647" t="s">
        <v>74</v>
      </c>
      <c r="BI647">
        <v>10</v>
      </c>
      <c r="BJ647" t="s">
        <v>10093</v>
      </c>
      <c r="BK647" t="s">
        <v>98</v>
      </c>
      <c r="BL647" t="s">
        <v>10094</v>
      </c>
      <c r="BM647" t="s">
        <v>10095</v>
      </c>
      <c r="BN647" t="s">
        <v>74</v>
      </c>
      <c r="BO647" t="s">
        <v>1900</v>
      </c>
      <c r="BP647" t="s">
        <v>74</v>
      </c>
      <c r="BQ647" t="s">
        <v>74</v>
      </c>
      <c r="BR647" t="s">
        <v>101</v>
      </c>
      <c r="BS647" t="s">
        <v>10096</v>
      </c>
      <c r="BT647" t="str">
        <f>HYPERLINK("https%3A%2F%2Fwww.webofscience.com%2Fwos%2Fwoscc%2Ffull-record%2FWOS:000232702800001","View Full Record in Web of Science")</f>
        <v>View Full Record in Web of Science</v>
      </c>
    </row>
    <row r="648" spans="1:72" x14ac:dyDescent="0.15">
      <c r="A648" t="s">
        <v>72</v>
      </c>
      <c r="B648" t="s">
        <v>10097</v>
      </c>
      <c r="C648" t="s">
        <v>74</v>
      </c>
      <c r="D648" t="s">
        <v>74</v>
      </c>
      <c r="E648" t="s">
        <v>74</v>
      </c>
      <c r="F648" t="s">
        <v>10097</v>
      </c>
      <c r="G648" t="s">
        <v>74</v>
      </c>
      <c r="H648" t="s">
        <v>74</v>
      </c>
      <c r="I648" t="s">
        <v>10098</v>
      </c>
      <c r="J648" t="s">
        <v>10099</v>
      </c>
      <c r="K648" t="s">
        <v>74</v>
      </c>
      <c r="L648" t="s">
        <v>74</v>
      </c>
      <c r="M648" t="s">
        <v>77</v>
      </c>
      <c r="N648" t="s">
        <v>78</v>
      </c>
      <c r="O648" t="s">
        <v>74</v>
      </c>
      <c r="P648" t="s">
        <v>74</v>
      </c>
      <c r="Q648" t="s">
        <v>74</v>
      </c>
      <c r="R648" t="s">
        <v>74</v>
      </c>
      <c r="S648" t="s">
        <v>74</v>
      </c>
      <c r="T648" t="s">
        <v>74</v>
      </c>
      <c r="U648" t="s">
        <v>10100</v>
      </c>
      <c r="V648" t="s">
        <v>10101</v>
      </c>
      <c r="W648" t="s">
        <v>10102</v>
      </c>
      <c r="X648" t="s">
        <v>10103</v>
      </c>
      <c r="Y648" t="s">
        <v>10104</v>
      </c>
      <c r="Z648" t="s">
        <v>10105</v>
      </c>
      <c r="AA648" t="s">
        <v>10106</v>
      </c>
      <c r="AB648" t="s">
        <v>10107</v>
      </c>
      <c r="AC648" t="s">
        <v>74</v>
      </c>
      <c r="AD648" t="s">
        <v>74</v>
      </c>
      <c r="AE648" t="s">
        <v>74</v>
      </c>
      <c r="AF648" t="s">
        <v>74</v>
      </c>
      <c r="AG648">
        <v>56</v>
      </c>
      <c r="AH648">
        <v>29</v>
      </c>
      <c r="AI648">
        <v>40</v>
      </c>
      <c r="AJ648">
        <v>1</v>
      </c>
      <c r="AK648">
        <v>4</v>
      </c>
      <c r="AL648" t="s">
        <v>10108</v>
      </c>
      <c r="AM648" t="s">
        <v>2517</v>
      </c>
      <c r="AN648" t="s">
        <v>10109</v>
      </c>
      <c r="AO648" t="s">
        <v>10110</v>
      </c>
      <c r="AP648" t="s">
        <v>74</v>
      </c>
      <c r="AQ648" t="s">
        <v>74</v>
      </c>
      <c r="AR648" t="s">
        <v>10111</v>
      </c>
      <c r="AS648" t="s">
        <v>10112</v>
      </c>
      <c r="AT648" t="s">
        <v>9746</v>
      </c>
      <c r="AU648">
        <v>2005</v>
      </c>
      <c r="AV648">
        <v>35</v>
      </c>
      <c r="AW648">
        <v>4</v>
      </c>
      <c r="AX648" t="s">
        <v>74</v>
      </c>
      <c r="AY648" t="s">
        <v>74</v>
      </c>
      <c r="AZ648" t="s">
        <v>74</v>
      </c>
      <c r="BA648" t="s">
        <v>74</v>
      </c>
      <c r="BB648">
        <v>299</v>
      </c>
      <c r="BC648">
        <v>314</v>
      </c>
      <c r="BD648" t="s">
        <v>74</v>
      </c>
      <c r="BE648" t="s">
        <v>10113</v>
      </c>
      <c r="BF648" t="str">
        <f>HYPERLINK("http://dx.doi.org/10.2113/35.4.299","http://dx.doi.org/10.2113/35.4.299")</f>
        <v>http://dx.doi.org/10.2113/35.4.299</v>
      </c>
      <c r="BG648" t="s">
        <v>74</v>
      </c>
      <c r="BH648" t="s">
        <v>74</v>
      </c>
      <c r="BI648">
        <v>16</v>
      </c>
      <c r="BJ648" t="s">
        <v>487</v>
      </c>
      <c r="BK648" t="s">
        <v>98</v>
      </c>
      <c r="BL648" t="s">
        <v>487</v>
      </c>
      <c r="BM648" t="s">
        <v>10114</v>
      </c>
      <c r="BN648" t="s">
        <v>74</v>
      </c>
      <c r="BO648" t="s">
        <v>74</v>
      </c>
      <c r="BP648" t="s">
        <v>74</v>
      </c>
      <c r="BQ648" t="s">
        <v>74</v>
      </c>
      <c r="BR648" t="s">
        <v>101</v>
      </c>
      <c r="BS648" t="s">
        <v>10115</v>
      </c>
      <c r="BT648" t="str">
        <f>HYPERLINK("https%3A%2F%2Fwww.webofscience.com%2Fwos%2Fwoscc%2Ffull-record%2FWOS:000233832400002","View Full Record in Web of Science")</f>
        <v>View Full Record in Web of Science</v>
      </c>
    </row>
    <row r="649" spans="1:72" x14ac:dyDescent="0.15">
      <c r="A649" t="s">
        <v>72</v>
      </c>
      <c r="B649" t="s">
        <v>10116</v>
      </c>
      <c r="C649" t="s">
        <v>74</v>
      </c>
      <c r="D649" t="s">
        <v>74</v>
      </c>
      <c r="E649" t="s">
        <v>74</v>
      </c>
      <c r="F649" t="s">
        <v>10117</v>
      </c>
      <c r="G649" t="s">
        <v>74</v>
      </c>
      <c r="H649" t="s">
        <v>74</v>
      </c>
      <c r="I649" t="s">
        <v>10118</v>
      </c>
      <c r="J649" t="s">
        <v>10119</v>
      </c>
      <c r="K649" t="s">
        <v>74</v>
      </c>
      <c r="L649" t="s">
        <v>74</v>
      </c>
      <c r="M649" t="s">
        <v>10120</v>
      </c>
      <c r="N649" t="s">
        <v>78</v>
      </c>
      <c r="O649" t="s">
        <v>74</v>
      </c>
      <c r="P649" t="s">
        <v>74</v>
      </c>
      <c r="Q649" t="s">
        <v>74</v>
      </c>
      <c r="R649" t="s">
        <v>74</v>
      </c>
      <c r="S649" t="s">
        <v>74</v>
      </c>
      <c r="T649" t="s">
        <v>10121</v>
      </c>
      <c r="U649" t="s">
        <v>10122</v>
      </c>
      <c r="V649" t="s">
        <v>10123</v>
      </c>
      <c r="W649" t="s">
        <v>10124</v>
      </c>
      <c r="X649" t="s">
        <v>10125</v>
      </c>
      <c r="Y649" t="s">
        <v>10126</v>
      </c>
      <c r="Z649" t="s">
        <v>10127</v>
      </c>
      <c r="AA649" t="s">
        <v>10128</v>
      </c>
      <c r="AB649" t="s">
        <v>74</v>
      </c>
      <c r="AC649" t="s">
        <v>74</v>
      </c>
      <c r="AD649" t="s">
        <v>74</v>
      </c>
      <c r="AE649" t="s">
        <v>74</v>
      </c>
      <c r="AF649" t="s">
        <v>74</v>
      </c>
      <c r="AG649">
        <v>42</v>
      </c>
      <c r="AH649">
        <v>4</v>
      </c>
      <c r="AI649">
        <v>4</v>
      </c>
      <c r="AJ649">
        <v>0</v>
      </c>
      <c r="AK649">
        <v>3</v>
      </c>
      <c r="AL649" t="s">
        <v>10129</v>
      </c>
      <c r="AM649" t="s">
        <v>6194</v>
      </c>
      <c r="AN649" t="s">
        <v>10130</v>
      </c>
      <c r="AO649" t="s">
        <v>10131</v>
      </c>
      <c r="AP649" t="s">
        <v>10132</v>
      </c>
      <c r="AQ649" t="s">
        <v>74</v>
      </c>
      <c r="AR649" t="s">
        <v>10133</v>
      </c>
      <c r="AS649" t="s">
        <v>10134</v>
      </c>
      <c r="AT649" t="s">
        <v>9746</v>
      </c>
      <c r="AU649">
        <v>2005</v>
      </c>
      <c r="AV649">
        <v>21</v>
      </c>
      <c r="AW649">
        <v>5</v>
      </c>
      <c r="AX649" t="s">
        <v>74</v>
      </c>
      <c r="AY649" t="s">
        <v>74</v>
      </c>
      <c r="AZ649" t="s">
        <v>74</v>
      </c>
      <c r="BA649" t="s">
        <v>74</v>
      </c>
      <c r="BB649">
        <v>481</v>
      </c>
      <c r="BC649">
        <v>494</v>
      </c>
      <c r="BD649" t="s">
        <v>74</v>
      </c>
      <c r="BE649" t="s">
        <v>74</v>
      </c>
      <c r="BF649" t="s">
        <v>74</v>
      </c>
      <c r="BG649" t="s">
        <v>74</v>
      </c>
      <c r="BH649" t="s">
        <v>74</v>
      </c>
      <c r="BI649">
        <v>14</v>
      </c>
      <c r="BJ649" t="s">
        <v>2033</v>
      </c>
      <c r="BK649" t="s">
        <v>1219</v>
      </c>
      <c r="BL649" t="s">
        <v>2033</v>
      </c>
      <c r="BM649" t="s">
        <v>10135</v>
      </c>
      <c r="BN649" t="s">
        <v>74</v>
      </c>
      <c r="BO649" t="s">
        <v>74</v>
      </c>
      <c r="BP649" t="s">
        <v>74</v>
      </c>
      <c r="BQ649" t="s">
        <v>74</v>
      </c>
      <c r="BR649" t="s">
        <v>101</v>
      </c>
      <c r="BS649" t="s">
        <v>10136</v>
      </c>
      <c r="BT649" t="str">
        <f>HYPERLINK("https%3A%2F%2Fwww.webofscience.com%2Fwos%2Fwoscc%2Ffull-record%2FWOS:000410189100001","View Full Record in Web of Science")</f>
        <v>View Full Record in Web of Science</v>
      </c>
    </row>
    <row r="650" spans="1:72" x14ac:dyDescent="0.15">
      <c r="A650" t="s">
        <v>72</v>
      </c>
      <c r="B650" t="s">
        <v>10137</v>
      </c>
      <c r="C650" t="s">
        <v>74</v>
      </c>
      <c r="D650" t="s">
        <v>74</v>
      </c>
      <c r="E650" t="s">
        <v>74</v>
      </c>
      <c r="F650" t="s">
        <v>10137</v>
      </c>
      <c r="G650" t="s">
        <v>74</v>
      </c>
      <c r="H650" t="s">
        <v>74</v>
      </c>
      <c r="I650" t="s">
        <v>10138</v>
      </c>
      <c r="J650" t="s">
        <v>10139</v>
      </c>
      <c r="K650" t="s">
        <v>74</v>
      </c>
      <c r="L650" t="s">
        <v>74</v>
      </c>
      <c r="M650" t="s">
        <v>77</v>
      </c>
      <c r="N650" t="s">
        <v>78</v>
      </c>
      <c r="O650" t="s">
        <v>74</v>
      </c>
      <c r="P650" t="s">
        <v>74</v>
      </c>
      <c r="Q650" t="s">
        <v>74</v>
      </c>
      <c r="R650" t="s">
        <v>74</v>
      </c>
      <c r="S650" t="s">
        <v>74</v>
      </c>
      <c r="T650" t="s">
        <v>10140</v>
      </c>
      <c r="U650" t="s">
        <v>74</v>
      </c>
      <c r="V650" t="s">
        <v>10141</v>
      </c>
      <c r="W650" t="s">
        <v>10142</v>
      </c>
      <c r="X650" t="s">
        <v>10143</v>
      </c>
      <c r="Y650" t="s">
        <v>10144</v>
      </c>
      <c r="Z650" t="s">
        <v>10145</v>
      </c>
      <c r="AA650" t="s">
        <v>10146</v>
      </c>
      <c r="AB650" t="s">
        <v>10147</v>
      </c>
      <c r="AC650" t="s">
        <v>74</v>
      </c>
      <c r="AD650" t="s">
        <v>74</v>
      </c>
      <c r="AE650" t="s">
        <v>74</v>
      </c>
      <c r="AF650" t="s">
        <v>74</v>
      </c>
      <c r="AG650">
        <v>41</v>
      </c>
      <c r="AH650">
        <v>28</v>
      </c>
      <c r="AI650">
        <v>30</v>
      </c>
      <c r="AJ650">
        <v>0</v>
      </c>
      <c r="AK650">
        <v>3</v>
      </c>
      <c r="AL650" t="s">
        <v>2495</v>
      </c>
      <c r="AM650" t="s">
        <v>1844</v>
      </c>
      <c r="AN650" t="s">
        <v>2496</v>
      </c>
      <c r="AO650" t="s">
        <v>10148</v>
      </c>
      <c r="AP650" t="s">
        <v>74</v>
      </c>
      <c r="AQ650" t="s">
        <v>74</v>
      </c>
      <c r="AR650" t="s">
        <v>10149</v>
      </c>
      <c r="AS650" t="s">
        <v>10150</v>
      </c>
      <c r="AT650" t="s">
        <v>9746</v>
      </c>
      <c r="AU650">
        <v>2005</v>
      </c>
      <c r="AV650">
        <v>24</v>
      </c>
      <c r="AW650" t="s">
        <v>74</v>
      </c>
      <c r="AX650">
        <v>2</v>
      </c>
      <c r="AY650" t="s">
        <v>74</v>
      </c>
      <c r="AZ650" t="s">
        <v>74</v>
      </c>
      <c r="BA650" t="s">
        <v>74</v>
      </c>
      <c r="BB650">
        <v>97</v>
      </c>
      <c r="BC650">
        <v>121</v>
      </c>
      <c r="BD650" t="s">
        <v>74</v>
      </c>
      <c r="BE650" t="s">
        <v>10151</v>
      </c>
      <c r="BF650" t="str">
        <f>HYPERLINK("http://dx.doi.org/10.1144/jm.24.2.97","http://dx.doi.org/10.1144/jm.24.2.97")</f>
        <v>http://dx.doi.org/10.1144/jm.24.2.97</v>
      </c>
      <c r="BG650" t="s">
        <v>74</v>
      </c>
      <c r="BH650" t="s">
        <v>74</v>
      </c>
      <c r="BI650">
        <v>25</v>
      </c>
      <c r="BJ650" t="s">
        <v>487</v>
      </c>
      <c r="BK650" t="s">
        <v>98</v>
      </c>
      <c r="BL650" t="s">
        <v>487</v>
      </c>
      <c r="BM650" t="s">
        <v>10152</v>
      </c>
      <c r="BN650" t="s">
        <v>74</v>
      </c>
      <c r="BO650" t="s">
        <v>1132</v>
      </c>
      <c r="BP650" t="s">
        <v>74</v>
      </c>
      <c r="BQ650" t="s">
        <v>74</v>
      </c>
      <c r="BR650" t="s">
        <v>101</v>
      </c>
      <c r="BS650" t="s">
        <v>10153</v>
      </c>
      <c r="BT650" t="str">
        <f>HYPERLINK("https%3A%2F%2Fwww.webofscience.com%2Fwos%2Fwoscc%2Ffull-record%2FWOS:000232665600001","View Full Record in Web of Science")</f>
        <v>View Full Record in Web of Science</v>
      </c>
    </row>
    <row r="651" spans="1:72" x14ac:dyDescent="0.15">
      <c r="A651" t="s">
        <v>72</v>
      </c>
      <c r="B651" t="s">
        <v>10154</v>
      </c>
      <c r="C651" t="s">
        <v>74</v>
      </c>
      <c r="D651" t="s">
        <v>74</v>
      </c>
      <c r="E651" t="s">
        <v>74</v>
      </c>
      <c r="F651" t="s">
        <v>10154</v>
      </c>
      <c r="G651" t="s">
        <v>74</v>
      </c>
      <c r="H651" t="s">
        <v>74</v>
      </c>
      <c r="I651" t="s">
        <v>10155</v>
      </c>
      <c r="J651" t="s">
        <v>10156</v>
      </c>
      <c r="K651" t="s">
        <v>74</v>
      </c>
      <c r="L651" t="s">
        <v>74</v>
      </c>
      <c r="M651" t="s">
        <v>77</v>
      </c>
      <c r="N651" t="s">
        <v>78</v>
      </c>
      <c r="O651" t="s">
        <v>74</v>
      </c>
      <c r="P651" t="s">
        <v>74</v>
      </c>
      <c r="Q651" t="s">
        <v>74</v>
      </c>
      <c r="R651" t="s">
        <v>74</v>
      </c>
      <c r="S651" t="s">
        <v>74</v>
      </c>
      <c r="T651" t="s">
        <v>10157</v>
      </c>
      <c r="U651" t="s">
        <v>10158</v>
      </c>
      <c r="V651" t="s">
        <v>10159</v>
      </c>
      <c r="W651" t="s">
        <v>10160</v>
      </c>
      <c r="X651" t="s">
        <v>2151</v>
      </c>
      <c r="Y651" t="s">
        <v>10161</v>
      </c>
      <c r="Z651" t="s">
        <v>10162</v>
      </c>
      <c r="AA651" t="s">
        <v>74</v>
      </c>
      <c r="AB651" t="s">
        <v>74</v>
      </c>
      <c r="AC651" t="s">
        <v>74</v>
      </c>
      <c r="AD651" t="s">
        <v>74</v>
      </c>
      <c r="AE651" t="s">
        <v>74</v>
      </c>
      <c r="AF651" t="s">
        <v>74</v>
      </c>
      <c r="AG651">
        <v>30</v>
      </c>
      <c r="AH651">
        <v>9</v>
      </c>
      <c r="AI651">
        <v>11</v>
      </c>
      <c r="AJ651">
        <v>0</v>
      </c>
      <c r="AK651">
        <v>12</v>
      </c>
      <c r="AL651" t="s">
        <v>88</v>
      </c>
      <c r="AM651" t="s">
        <v>89</v>
      </c>
      <c r="AN651" t="s">
        <v>4001</v>
      </c>
      <c r="AO651" t="s">
        <v>10163</v>
      </c>
      <c r="AP651" t="s">
        <v>74</v>
      </c>
      <c r="AQ651" t="s">
        <v>74</v>
      </c>
      <c r="AR651" t="s">
        <v>10164</v>
      </c>
      <c r="AS651" t="s">
        <v>10165</v>
      </c>
      <c r="AT651" t="s">
        <v>9746</v>
      </c>
      <c r="AU651">
        <v>2005</v>
      </c>
      <c r="AV651">
        <v>61</v>
      </c>
      <c r="AW651">
        <v>4</v>
      </c>
      <c r="AX651" t="s">
        <v>74</v>
      </c>
      <c r="AY651" t="s">
        <v>74</v>
      </c>
      <c r="AZ651" t="s">
        <v>74</v>
      </c>
      <c r="BA651" t="s">
        <v>74</v>
      </c>
      <c r="BB651">
        <v>417</v>
      </c>
      <c r="BC651">
        <v>424</v>
      </c>
      <c r="BD651" t="s">
        <v>74</v>
      </c>
      <c r="BE651" t="s">
        <v>10166</v>
      </c>
      <c r="BF651" t="str">
        <f>HYPERLINK("http://dx.doi.org/10.1007/s00239-004-0067-y","http://dx.doi.org/10.1007/s00239-004-0067-y")</f>
        <v>http://dx.doi.org/10.1007/s00239-004-0067-y</v>
      </c>
      <c r="BG651" t="s">
        <v>74</v>
      </c>
      <c r="BH651" t="s">
        <v>74</v>
      </c>
      <c r="BI651">
        <v>8</v>
      </c>
      <c r="BJ651" t="s">
        <v>10167</v>
      </c>
      <c r="BK651" t="s">
        <v>98</v>
      </c>
      <c r="BL651" t="s">
        <v>10167</v>
      </c>
      <c r="BM651" t="s">
        <v>10168</v>
      </c>
      <c r="BN651">
        <v>16132468</v>
      </c>
      <c r="BO651" t="s">
        <v>74</v>
      </c>
      <c r="BP651" t="s">
        <v>74</v>
      </c>
      <c r="BQ651" t="s">
        <v>74</v>
      </c>
      <c r="BR651" t="s">
        <v>101</v>
      </c>
      <c r="BS651" t="s">
        <v>10169</v>
      </c>
      <c r="BT651" t="str">
        <f>HYPERLINK("https%3A%2F%2Fwww.webofscience.com%2Fwos%2Fwoscc%2Ffull-record%2FWOS:000232403400001","View Full Record in Web of Science")</f>
        <v>View Full Record in Web of Science</v>
      </c>
    </row>
    <row r="652" spans="1:72" x14ac:dyDescent="0.15">
      <c r="A652" t="s">
        <v>72</v>
      </c>
      <c r="B652" t="s">
        <v>10170</v>
      </c>
      <c r="C652" t="s">
        <v>74</v>
      </c>
      <c r="D652" t="s">
        <v>74</v>
      </c>
      <c r="E652" t="s">
        <v>74</v>
      </c>
      <c r="F652" t="s">
        <v>10170</v>
      </c>
      <c r="G652" t="s">
        <v>74</v>
      </c>
      <c r="H652" t="s">
        <v>74</v>
      </c>
      <c r="I652" t="s">
        <v>10171</v>
      </c>
      <c r="J652" t="s">
        <v>8902</v>
      </c>
      <c r="K652" t="s">
        <v>74</v>
      </c>
      <c r="L652" t="s">
        <v>74</v>
      </c>
      <c r="M652" t="s">
        <v>77</v>
      </c>
      <c r="N652" t="s">
        <v>78</v>
      </c>
      <c r="O652" t="s">
        <v>74</v>
      </c>
      <c r="P652" t="s">
        <v>74</v>
      </c>
      <c r="Q652" t="s">
        <v>74</v>
      </c>
      <c r="R652" t="s">
        <v>74</v>
      </c>
      <c r="S652" t="s">
        <v>74</v>
      </c>
      <c r="T652" t="s">
        <v>74</v>
      </c>
      <c r="U652" t="s">
        <v>10172</v>
      </c>
      <c r="V652" t="s">
        <v>10173</v>
      </c>
      <c r="W652" t="s">
        <v>8929</v>
      </c>
      <c r="X652" t="s">
        <v>8930</v>
      </c>
      <c r="Y652" t="s">
        <v>10174</v>
      </c>
      <c r="Z652" t="s">
        <v>10175</v>
      </c>
      <c r="AA652" t="s">
        <v>8933</v>
      </c>
      <c r="AB652" t="s">
        <v>10176</v>
      </c>
      <c r="AC652" t="s">
        <v>74</v>
      </c>
      <c r="AD652" t="s">
        <v>74</v>
      </c>
      <c r="AE652" t="s">
        <v>74</v>
      </c>
      <c r="AF652" t="s">
        <v>74</v>
      </c>
      <c r="AG652">
        <v>46</v>
      </c>
      <c r="AH652">
        <v>37</v>
      </c>
      <c r="AI652">
        <v>39</v>
      </c>
      <c r="AJ652">
        <v>1</v>
      </c>
      <c r="AK652">
        <v>18</v>
      </c>
      <c r="AL652" t="s">
        <v>6583</v>
      </c>
      <c r="AM652" t="s">
        <v>6584</v>
      </c>
      <c r="AN652" t="s">
        <v>6585</v>
      </c>
      <c r="AO652" t="s">
        <v>8910</v>
      </c>
      <c r="AP652" t="s">
        <v>8922</v>
      </c>
      <c r="AQ652" t="s">
        <v>74</v>
      </c>
      <c r="AR652" t="s">
        <v>8911</v>
      </c>
      <c r="AS652" t="s">
        <v>8912</v>
      </c>
      <c r="AT652" t="s">
        <v>9746</v>
      </c>
      <c r="AU652">
        <v>2005</v>
      </c>
      <c r="AV652">
        <v>35</v>
      </c>
      <c r="AW652">
        <v>10</v>
      </c>
      <c r="AX652" t="s">
        <v>74</v>
      </c>
      <c r="AY652" t="s">
        <v>74</v>
      </c>
      <c r="AZ652" t="s">
        <v>74</v>
      </c>
      <c r="BA652" t="s">
        <v>74</v>
      </c>
      <c r="BB652">
        <v>1841</v>
      </c>
      <c r="BC652">
        <v>1860</v>
      </c>
      <c r="BD652" t="s">
        <v>74</v>
      </c>
      <c r="BE652" t="s">
        <v>10177</v>
      </c>
      <c r="BF652" t="str">
        <f>HYPERLINK("http://dx.doi.org/10.1175/JPO2782.1","http://dx.doi.org/10.1175/JPO2782.1")</f>
        <v>http://dx.doi.org/10.1175/JPO2782.1</v>
      </c>
      <c r="BG652" t="s">
        <v>74</v>
      </c>
      <c r="BH652" t="s">
        <v>74</v>
      </c>
      <c r="BI652">
        <v>20</v>
      </c>
      <c r="BJ652" t="s">
        <v>629</v>
      </c>
      <c r="BK652" t="s">
        <v>98</v>
      </c>
      <c r="BL652" t="s">
        <v>629</v>
      </c>
      <c r="BM652" t="s">
        <v>10178</v>
      </c>
      <c r="BN652" t="s">
        <v>74</v>
      </c>
      <c r="BO652" t="s">
        <v>1900</v>
      </c>
      <c r="BP652" t="s">
        <v>74</v>
      </c>
      <c r="BQ652" t="s">
        <v>74</v>
      </c>
      <c r="BR652" t="s">
        <v>101</v>
      </c>
      <c r="BS652" t="s">
        <v>10179</v>
      </c>
      <c r="BT652" t="str">
        <f>HYPERLINK("https%3A%2F%2Fwww.webofscience.com%2Fwos%2Fwoscc%2Ffull-record%2FWOS:000233576400009","View Full Record in Web of Science")</f>
        <v>View Full Record in Web of Science</v>
      </c>
    </row>
    <row r="653" spans="1:72" x14ac:dyDescent="0.15">
      <c r="A653" t="s">
        <v>72</v>
      </c>
      <c r="B653" t="s">
        <v>10180</v>
      </c>
      <c r="C653" t="s">
        <v>74</v>
      </c>
      <c r="D653" t="s">
        <v>74</v>
      </c>
      <c r="E653" t="s">
        <v>74</v>
      </c>
      <c r="F653" t="s">
        <v>10180</v>
      </c>
      <c r="G653" t="s">
        <v>74</v>
      </c>
      <c r="H653" t="s">
        <v>74</v>
      </c>
      <c r="I653" t="s">
        <v>10181</v>
      </c>
      <c r="J653" t="s">
        <v>8902</v>
      </c>
      <c r="K653" t="s">
        <v>74</v>
      </c>
      <c r="L653" t="s">
        <v>74</v>
      </c>
      <c r="M653" t="s">
        <v>77</v>
      </c>
      <c r="N653" t="s">
        <v>78</v>
      </c>
      <c r="O653" t="s">
        <v>74</v>
      </c>
      <c r="P653" t="s">
        <v>74</v>
      </c>
      <c r="Q653" t="s">
        <v>74</v>
      </c>
      <c r="R653" t="s">
        <v>74</v>
      </c>
      <c r="S653" t="s">
        <v>74</v>
      </c>
      <c r="T653" t="s">
        <v>74</v>
      </c>
      <c r="U653" t="s">
        <v>10182</v>
      </c>
      <c r="V653" t="s">
        <v>10183</v>
      </c>
      <c r="W653" t="s">
        <v>10184</v>
      </c>
      <c r="X653" t="s">
        <v>9057</v>
      </c>
      <c r="Y653" t="s">
        <v>10185</v>
      </c>
      <c r="Z653" t="s">
        <v>10186</v>
      </c>
      <c r="AA653" t="s">
        <v>74</v>
      </c>
      <c r="AB653" t="s">
        <v>74</v>
      </c>
      <c r="AC653" t="s">
        <v>74</v>
      </c>
      <c r="AD653" t="s">
        <v>74</v>
      </c>
      <c r="AE653" t="s">
        <v>74</v>
      </c>
      <c r="AF653" t="s">
        <v>74</v>
      </c>
      <c r="AG653">
        <v>39</v>
      </c>
      <c r="AH653">
        <v>12</v>
      </c>
      <c r="AI653">
        <v>13</v>
      </c>
      <c r="AJ653">
        <v>0</v>
      </c>
      <c r="AK653">
        <v>9</v>
      </c>
      <c r="AL653" t="s">
        <v>6583</v>
      </c>
      <c r="AM653" t="s">
        <v>6584</v>
      </c>
      <c r="AN653" t="s">
        <v>6585</v>
      </c>
      <c r="AO653" t="s">
        <v>8910</v>
      </c>
      <c r="AP653" t="s">
        <v>8922</v>
      </c>
      <c r="AQ653" t="s">
        <v>74</v>
      </c>
      <c r="AR653" t="s">
        <v>8911</v>
      </c>
      <c r="AS653" t="s">
        <v>8912</v>
      </c>
      <c r="AT653" t="s">
        <v>9746</v>
      </c>
      <c r="AU653">
        <v>2005</v>
      </c>
      <c r="AV653">
        <v>35</v>
      </c>
      <c r="AW653">
        <v>10</v>
      </c>
      <c r="AX653" t="s">
        <v>74</v>
      </c>
      <c r="AY653" t="s">
        <v>74</v>
      </c>
      <c r="AZ653" t="s">
        <v>74</v>
      </c>
      <c r="BA653" t="s">
        <v>74</v>
      </c>
      <c r="BB653">
        <v>1876</v>
      </c>
      <c r="BC653">
        <v>1890</v>
      </c>
      <c r="BD653" t="s">
        <v>74</v>
      </c>
      <c r="BE653" t="s">
        <v>10187</v>
      </c>
      <c r="BF653" t="str">
        <f>HYPERLINK("http://dx.doi.org/10.1175/JPO2792.1","http://dx.doi.org/10.1175/JPO2792.1")</f>
        <v>http://dx.doi.org/10.1175/JPO2792.1</v>
      </c>
      <c r="BG653" t="s">
        <v>74</v>
      </c>
      <c r="BH653" t="s">
        <v>74</v>
      </c>
      <c r="BI653">
        <v>15</v>
      </c>
      <c r="BJ653" t="s">
        <v>629</v>
      </c>
      <c r="BK653" t="s">
        <v>98</v>
      </c>
      <c r="BL653" t="s">
        <v>629</v>
      </c>
      <c r="BM653" t="s">
        <v>10178</v>
      </c>
      <c r="BN653" t="s">
        <v>74</v>
      </c>
      <c r="BO653" t="s">
        <v>1132</v>
      </c>
      <c r="BP653" t="s">
        <v>74</v>
      </c>
      <c r="BQ653" t="s">
        <v>74</v>
      </c>
      <c r="BR653" t="s">
        <v>101</v>
      </c>
      <c r="BS653" t="s">
        <v>10188</v>
      </c>
      <c r="BT653" t="str">
        <f>HYPERLINK("https%3A%2F%2Fwww.webofscience.com%2Fwos%2Fwoscc%2Ffull-record%2FWOS:000233576400011","View Full Record in Web of Science")</f>
        <v>View Full Record in Web of Science</v>
      </c>
    </row>
    <row r="654" spans="1:72" x14ac:dyDescent="0.15">
      <c r="A654" t="s">
        <v>72</v>
      </c>
      <c r="B654" t="s">
        <v>10189</v>
      </c>
      <c r="C654" t="s">
        <v>74</v>
      </c>
      <c r="D654" t="s">
        <v>74</v>
      </c>
      <c r="E654" t="s">
        <v>74</v>
      </c>
      <c r="F654" t="s">
        <v>10189</v>
      </c>
      <c r="G654" t="s">
        <v>74</v>
      </c>
      <c r="H654" t="s">
        <v>74</v>
      </c>
      <c r="I654" t="s">
        <v>10190</v>
      </c>
      <c r="J654" t="s">
        <v>8902</v>
      </c>
      <c r="K654" t="s">
        <v>74</v>
      </c>
      <c r="L654" t="s">
        <v>74</v>
      </c>
      <c r="M654" t="s">
        <v>77</v>
      </c>
      <c r="N654" t="s">
        <v>78</v>
      </c>
      <c r="O654" t="s">
        <v>74</v>
      </c>
      <c r="P654" t="s">
        <v>74</v>
      </c>
      <c r="Q654" t="s">
        <v>74</v>
      </c>
      <c r="R654" t="s">
        <v>74</v>
      </c>
      <c r="S654" t="s">
        <v>74</v>
      </c>
      <c r="T654" t="s">
        <v>74</v>
      </c>
      <c r="U654" t="s">
        <v>10191</v>
      </c>
      <c r="V654" t="s">
        <v>10192</v>
      </c>
      <c r="W654" t="s">
        <v>4293</v>
      </c>
      <c r="X654" t="s">
        <v>4294</v>
      </c>
      <c r="Y654" t="s">
        <v>10193</v>
      </c>
      <c r="Z654" t="s">
        <v>10194</v>
      </c>
      <c r="AA654" t="s">
        <v>10195</v>
      </c>
      <c r="AB654" t="s">
        <v>10196</v>
      </c>
      <c r="AC654" t="s">
        <v>74</v>
      </c>
      <c r="AD654" t="s">
        <v>74</v>
      </c>
      <c r="AE654" t="s">
        <v>74</v>
      </c>
      <c r="AF654" t="s">
        <v>74</v>
      </c>
      <c r="AG654">
        <v>48</v>
      </c>
      <c r="AH654">
        <v>140</v>
      </c>
      <c r="AI654">
        <v>146</v>
      </c>
      <c r="AJ654">
        <v>0</v>
      </c>
      <c r="AK654">
        <v>10</v>
      </c>
      <c r="AL654" t="s">
        <v>6583</v>
      </c>
      <c r="AM654" t="s">
        <v>6584</v>
      </c>
      <c r="AN654" t="s">
        <v>6585</v>
      </c>
      <c r="AO654" t="s">
        <v>8910</v>
      </c>
      <c r="AP654" t="s">
        <v>8922</v>
      </c>
      <c r="AQ654" t="s">
        <v>74</v>
      </c>
      <c r="AR654" t="s">
        <v>8911</v>
      </c>
      <c r="AS654" t="s">
        <v>8912</v>
      </c>
      <c r="AT654" t="s">
        <v>9746</v>
      </c>
      <c r="AU654">
        <v>2005</v>
      </c>
      <c r="AV654">
        <v>35</v>
      </c>
      <c r="AW654">
        <v>10</v>
      </c>
      <c r="AX654" t="s">
        <v>74</v>
      </c>
      <c r="AY654" t="s">
        <v>74</v>
      </c>
      <c r="AZ654" t="s">
        <v>74</v>
      </c>
      <c r="BA654" t="s">
        <v>74</v>
      </c>
      <c r="BB654">
        <v>1891</v>
      </c>
      <c r="BC654">
        <v>1910</v>
      </c>
      <c r="BD654" t="s">
        <v>74</v>
      </c>
      <c r="BE654" t="s">
        <v>10197</v>
      </c>
      <c r="BF654" t="str">
        <f>HYPERLINK("http://dx.doi.org/10.1175/JPO2785.1","http://dx.doi.org/10.1175/JPO2785.1")</f>
        <v>http://dx.doi.org/10.1175/JPO2785.1</v>
      </c>
      <c r="BG654" t="s">
        <v>74</v>
      </c>
      <c r="BH654" t="s">
        <v>74</v>
      </c>
      <c r="BI654">
        <v>20</v>
      </c>
      <c r="BJ654" t="s">
        <v>629</v>
      </c>
      <c r="BK654" t="s">
        <v>98</v>
      </c>
      <c r="BL654" t="s">
        <v>629</v>
      </c>
      <c r="BM654" t="s">
        <v>10178</v>
      </c>
      <c r="BN654" t="s">
        <v>74</v>
      </c>
      <c r="BO654" t="s">
        <v>1132</v>
      </c>
      <c r="BP654" t="s">
        <v>74</v>
      </c>
      <c r="BQ654" t="s">
        <v>74</v>
      </c>
      <c r="BR654" t="s">
        <v>101</v>
      </c>
      <c r="BS654" t="s">
        <v>10198</v>
      </c>
      <c r="BT654" t="str">
        <f>HYPERLINK("https%3A%2F%2Fwww.webofscience.com%2Fwos%2Fwoscc%2Ffull-record%2FWOS:000233576400012","View Full Record in Web of Science")</f>
        <v>View Full Record in Web of Science</v>
      </c>
    </row>
    <row r="655" spans="1:72" x14ac:dyDescent="0.15">
      <c r="A655" t="s">
        <v>72</v>
      </c>
      <c r="B655" t="s">
        <v>10199</v>
      </c>
      <c r="C655" t="s">
        <v>74</v>
      </c>
      <c r="D655" t="s">
        <v>74</v>
      </c>
      <c r="E655" t="s">
        <v>74</v>
      </c>
      <c r="F655" t="s">
        <v>10199</v>
      </c>
      <c r="G655" t="s">
        <v>74</v>
      </c>
      <c r="H655" t="s">
        <v>74</v>
      </c>
      <c r="I655" t="s">
        <v>10200</v>
      </c>
      <c r="J655" t="s">
        <v>10201</v>
      </c>
      <c r="K655" t="s">
        <v>74</v>
      </c>
      <c r="L655" t="s">
        <v>74</v>
      </c>
      <c r="M655" t="s">
        <v>77</v>
      </c>
      <c r="N655" t="s">
        <v>78</v>
      </c>
      <c r="O655" t="s">
        <v>74</v>
      </c>
      <c r="P655" t="s">
        <v>74</v>
      </c>
      <c r="Q655" t="s">
        <v>74</v>
      </c>
      <c r="R655" t="s">
        <v>74</v>
      </c>
      <c r="S655" t="s">
        <v>74</v>
      </c>
      <c r="T655" t="s">
        <v>10202</v>
      </c>
      <c r="U655" t="s">
        <v>10203</v>
      </c>
      <c r="V655" t="s">
        <v>10204</v>
      </c>
      <c r="W655" t="s">
        <v>10205</v>
      </c>
      <c r="X655" t="s">
        <v>10206</v>
      </c>
      <c r="Y655" t="s">
        <v>10207</v>
      </c>
      <c r="Z655" t="s">
        <v>10208</v>
      </c>
      <c r="AA655" t="s">
        <v>74</v>
      </c>
      <c r="AB655" t="s">
        <v>74</v>
      </c>
      <c r="AC655" t="s">
        <v>74</v>
      </c>
      <c r="AD655" t="s">
        <v>74</v>
      </c>
      <c r="AE655" t="s">
        <v>74</v>
      </c>
      <c r="AF655" t="s">
        <v>74</v>
      </c>
      <c r="AG655">
        <v>70</v>
      </c>
      <c r="AH655">
        <v>4</v>
      </c>
      <c r="AI655">
        <v>4</v>
      </c>
      <c r="AJ655">
        <v>1</v>
      </c>
      <c r="AK655">
        <v>14</v>
      </c>
      <c r="AL655" t="s">
        <v>4749</v>
      </c>
      <c r="AM655" t="s">
        <v>4750</v>
      </c>
      <c r="AN655" t="s">
        <v>4751</v>
      </c>
      <c r="AO655" t="s">
        <v>10209</v>
      </c>
      <c r="AP655" t="s">
        <v>10210</v>
      </c>
      <c r="AQ655" t="s">
        <v>74</v>
      </c>
      <c r="AR655" t="s">
        <v>10211</v>
      </c>
      <c r="AS655" t="s">
        <v>10212</v>
      </c>
      <c r="AT655" t="s">
        <v>10213</v>
      </c>
      <c r="AU655">
        <v>2005</v>
      </c>
      <c r="AV655">
        <v>23</v>
      </c>
      <c r="AW655">
        <v>4</v>
      </c>
      <c r="AX655" t="s">
        <v>74</v>
      </c>
      <c r="AY655" t="s">
        <v>74</v>
      </c>
      <c r="AZ655" t="s">
        <v>74</v>
      </c>
      <c r="BA655" t="s">
        <v>74</v>
      </c>
      <c r="BB655">
        <v>373</v>
      </c>
      <c r="BC655">
        <v>400</v>
      </c>
      <c r="BD655" t="s">
        <v>74</v>
      </c>
      <c r="BE655" t="s">
        <v>10214</v>
      </c>
      <c r="BF655" t="str">
        <f>HYPERLINK("http://dx.doi.org/10.1080/10641190500446789","http://dx.doi.org/10.1080/10641190500446789")</f>
        <v>http://dx.doi.org/10.1080/10641190500446789</v>
      </c>
      <c r="BG655" t="s">
        <v>74</v>
      </c>
      <c r="BH655" t="s">
        <v>74</v>
      </c>
      <c r="BI655">
        <v>28</v>
      </c>
      <c r="BJ655" t="s">
        <v>10215</v>
      </c>
      <c r="BK655" t="s">
        <v>98</v>
      </c>
      <c r="BL655" t="s">
        <v>10216</v>
      </c>
      <c r="BM655" t="s">
        <v>10217</v>
      </c>
      <c r="BN655" t="s">
        <v>74</v>
      </c>
      <c r="BO655" t="s">
        <v>74</v>
      </c>
      <c r="BP655" t="s">
        <v>74</v>
      </c>
      <c r="BQ655" t="s">
        <v>74</v>
      </c>
      <c r="BR655" t="s">
        <v>101</v>
      </c>
      <c r="BS655" t="s">
        <v>10218</v>
      </c>
      <c r="BT655" t="str">
        <f>HYPERLINK("https%3A%2F%2Fwww.webofscience.com%2Fwos%2Fwoscc%2Ffull-record%2FWOS:000234150500009","View Full Record in Web of Science")</f>
        <v>View Full Record in Web of Science</v>
      </c>
    </row>
    <row r="656" spans="1:72" x14ac:dyDescent="0.15">
      <c r="A656" t="s">
        <v>72</v>
      </c>
      <c r="B656" t="s">
        <v>10219</v>
      </c>
      <c r="C656" t="s">
        <v>74</v>
      </c>
      <c r="D656" t="s">
        <v>74</v>
      </c>
      <c r="E656" t="s">
        <v>74</v>
      </c>
      <c r="F656" t="s">
        <v>10219</v>
      </c>
      <c r="G656" t="s">
        <v>74</v>
      </c>
      <c r="H656" t="s">
        <v>74</v>
      </c>
      <c r="I656" t="s">
        <v>10220</v>
      </c>
      <c r="J656" t="s">
        <v>3189</v>
      </c>
      <c r="K656" t="s">
        <v>74</v>
      </c>
      <c r="L656" t="s">
        <v>74</v>
      </c>
      <c r="M656" t="s">
        <v>77</v>
      </c>
      <c r="N656" t="s">
        <v>78</v>
      </c>
      <c r="O656" t="s">
        <v>74</v>
      </c>
      <c r="P656" t="s">
        <v>74</v>
      </c>
      <c r="Q656" t="s">
        <v>74</v>
      </c>
      <c r="R656" t="s">
        <v>74</v>
      </c>
      <c r="S656" t="s">
        <v>74</v>
      </c>
      <c r="T656" t="s">
        <v>10221</v>
      </c>
      <c r="U656" t="s">
        <v>10222</v>
      </c>
      <c r="V656" t="s">
        <v>10223</v>
      </c>
      <c r="W656" t="s">
        <v>10224</v>
      </c>
      <c r="X656" t="s">
        <v>10225</v>
      </c>
      <c r="Y656" t="s">
        <v>10226</v>
      </c>
      <c r="Z656" t="s">
        <v>10227</v>
      </c>
      <c r="AA656" t="s">
        <v>10228</v>
      </c>
      <c r="AB656" t="s">
        <v>10229</v>
      </c>
      <c r="AC656" t="s">
        <v>74</v>
      </c>
      <c r="AD656" t="s">
        <v>74</v>
      </c>
      <c r="AE656" t="s">
        <v>74</v>
      </c>
      <c r="AF656" t="s">
        <v>74</v>
      </c>
      <c r="AG656">
        <v>28</v>
      </c>
      <c r="AH656">
        <v>13</v>
      </c>
      <c r="AI656">
        <v>15</v>
      </c>
      <c r="AJ656">
        <v>0</v>
      </c>
      <c r="AK656">
        <v>8</v>
      </c>
      <c r="AL656" t="s">
        <v>3199</v>
      </c>
      <c r="AM656" t="s">
        <v>2517</v>
      </c>
      <c r="AN656" t="s">
        <v>3200</v>
      </c>
      <c r="AO656" t="s">
        <v>3201</v>
      </c>
      <c r="AP656" t="s">
        <v>74</v>
      </c>
      <c r="AQ656" t="s">
        <v>74</v>
      </c>
      <c r="AR656" t="s">
        <v>3202</v>
      </c>
      <c r="AS656" t="s">
        <v>3203</v>
      </c>
      <c r="AT656" t="s">
        <v>9746</v>
      </c>
      <c r="AU656">
        <v>2005</v>
      </c>
      <c r="AV656">
        <v>21</v>
      </c>
      <c r="AW656">
        <v>4</v>
      </c>
      <c r="AX656" t="s">
        <v>74</v>
      </c>
      <c r="AY656" t="s">
        <v>74</v>
      </c>
      <c r="AZ656" t="s">
        <v>74</v>
      </c>
      <c r="BA656" t="s">
        <v>74</v>
      </c>
      <c r="BB656">
        <v>717</v>
      </c>
      <c r="BC656">
        <v>727</v>
      </c>
      <c r="BD656" t="s">
        <v>74</v>
      </c>
      <c r="BE656" t="s">
        <v>10230</v>
      </c>
      <c r="BF656" t="str">
        <f>HYPERLINK("http://dx.doi.org/10.1111/j.1748-7692.2005.tb01261.x","http://dx.doi.org/10.1111/j.1748-7692.2005.tb01261.x")</f>
        <v>http://dx.doi.org/10.1111/j.1748-7692.2005.tb01261.x</v>
      </c>
      <c r="BG656" t="s">
        <v>74</v>
      </c>
      <c r="BH656" t="s">
        <v>74</v>
      </c>
      <c r="BI656">
        <v>11</v>
      </c>
      <c r="BJ656" t="s">
        <v>3205</v>
      </c>
      <c r="BK656" t="s">
        <v>98</v>
      </c>
      <c r="BL656" t="s">
        <v>3205</v>
      </c>
      <c r="BM656" t="s">
        <v>10231</v>
      </c>
      <c r="BN656" t="s">
        <v>74</v>
      </c>
      <c r="BO656" t="s">
        <v>74</v>
      </c>
      <c r="BP656" t="s">
        <v>74</v>
      </c>
      <c r="BQ656" t="s">
        <v>74</v>
      </c>
      <c r="BR656" t="s">
        <v>101</v>
      </c>
      <c r="BS656" t="s">
        <v>10232</v>
      </c>
      <c r="BT656" t="str">
        <f>HYPERLINK("https%3A%2F%2Fwww.webofscience.com%2Fwos%2Fwoscc%2Ffull-record%2FWOS:000232297400009","View Full Record in Web of Science")</f>
        <v>View Full Record in Web of Science</v>
      </c>
    </row>
    <row r="657" spans="1:72" x14ac:dyDescent="0.15">
      <c r="A657" t="s">
        <v>72</v>
      </c>
      <c r="B657" t="s">
        <v>2593</v>
      </c>
      <c r="C657" t="s">
        <v>74</v>
      </c>
      <c r="D657" t="s">
        <v>74</v>
      </c>
      <c r="E657" t="s">
        <v>74</v>
      </c>
      <c r="F657" t="s">
        <v>2593</v>
      </c>
      <c r="G657" t="s">
        <v>74</v>
      </c>
      <c r="H657" t="s">
        <v>74</v>
      </c>
      <c r="I657" t="s">
        <v>10233</v>
      </c>
      <c r="J657" t="s">
        <v>10234</v>
      </c>
      <c r="K657" t="s">
        <v>74</v>
      </c>
      <c r="L657" t="s">
        <v>74</v>
      </c>
      <c r="M657" t="s">
        <v>77</v>
      </c>
      <c r="N657" t="s">
        <v>2596</v>
      </c>
      <c r="O657" t="s">
        <v>74</v>
      </c>
      <c r="P657" t="s">
        <v>74</v>
      </c>
      <c r="Q657" t="s">
        <v>74</v>
      </c>
      <c r="R657" t="s">
        <v>74</v>
      </c>
      <c r="S657" t="s">
        <v>74</v>
      </c>
      <c r="T657" t="s">
        <v>74</v>
      </c>
      <c r="U657" t="s">
        <v>74</v>
      </c>
      <c r="V657" t="s">
        <v>74</v>
      </c>
      <c r="W657" t="s">
        <v>74</v>
      </c>
      <c r="X657" t="s">
        <v>74</v>
      </c>
      <c r="Y657" t="s">
        <v>74</v>
      </c>
      <c r="Z657" t="s">
        <v>74</v>
      </c>
      <c r="AA657" t="s">
        <v>74</v>
      </c>
      <c r="AB657" t="s">
        <v>74</v>
      </c>
      <c r="AC657" t="s">
        <v>74</v>
      </c>
      <c r="AD657" t="s">
        <v>74</v>
      </c>
      <c r="AE657" t="s">
        <v>74</v>
      </c>
      <c r="AF657" t="s">
        <v>74</v>
      </c>
      <c r="AG657">
        <v>0</v>
      </c>
      <c r="AH657">
        <v>0</v>
      </c>
      <c r="AI657">
        <v>0</v>
      </c>
      <c r="AJ657">
        <v>0</v>
      </c>
      <c r="AK657">
        <v>0</v>
      </c>
      <c r="AL657" t="s">
        <v>622</v>
      </c>
      <c r="AM657" t="s">
        <v>140</v>
      </c>
      <c r="AN657" t="s">
        <v>623</v>
      </c>
      <c r="AO657" t="s">
        <v>10235</v>
      </c>
      <c r="AP657" t="s">
        <v>10236</v>
      </c>
      <c r="AQ657" t="s">
        <v>74</v>
      </c>
      <c r="AR657" t="s">
        <v>10237</v>
      </c>
      <c r="AS657" t="s">
        <v>10238</v>
      </c>
      <c r="AT657" t="s">
        <v>9746</v>
      </c>
      <c r="AU657">
        <v>2005</v>
      </c>
      <c r="AV657">
        <v>50</v>
      </c>
      <c r="AW657">
        <v>10</v>
      </c>
      <c r="AX657" t="s">
        <v>74</v>
      </c>
      <c r="AY657" t="s">
        <v>74</v>
      </c>
      <c r="AZ657" t="s">
        <v>74</v>
      </c>
      <c r="BA657" t="s">
        <v>74</v>
      </c>
      <c r="BB657">
        <v>1029</v>
      </c>
      <c r="BC657">
        <v>1030</v>
      </c>
      <c r="BD657" t="s">
        <v>74</v>
      </c>
      <c r="BE657" t="s">
        <v>74</v>
      </c>
      <c r="BF657" t="s">
        <v>74</v>
      </c>
      <c r="BG657" t="s">
        <v>74</v>
      </c>
      <c r="BH657" t="s">
        <v>74</v>
      </c>
      <c r="BI657">
        <v>2</v>
      </c>
      <c r="BJ657" t="s">
        <v>10239</v>
      </c>
      <c r="BK657" t="s">
        <v>98</v>
      </c>
      <c r="BL657" t="s">
        <v>2629</v>
      </c>
      <c r="BM657" t="s">
        <v>10240</v>
      </c>
      <c r="BN657" t="s">
        <v>74</v>
      </c>
      <c r="BO657" t="s">
        <v>74</v>
      </c>
      <c r="BP657" t="s">
        <v>74</v>
      </c>
      <c r="BQ657" t="s">
        <v>74</v>
      </c>
      <c r="BR657" t="s">
        <v>101</v>
      </c>
      <c r="BS657" t="s">
        <v>10241</v>
      </c>
      <c r="BT657" t="str">
        <f>HYPERLINK("https%3A%2F%2Fwww.webofscience.com%2Fwos%2Fwoscc%2Ffull-record%2FWOS:000232864300012","View Full Record in Web of Science")</f>
        <v>View Full Record in Web of Science</v>
      </c>
    </row>
    <row r="658" spans="1:72" x14ac:dyDescent="0.15">
      <c r="A658" t="s">
        <v>72</v>
      </c>
      <c r="B658" t="s">
        <v>10242</v>
      </c>
      <c r="C658" t="s">
        <v>74</v>
      </c>
      <c r="D658" t="s">
        <v>74</v>
      </c>
      <c r="E658" t="s">
        <v>74</v>
      </c>
      <c r="F658" t="s">
        <v>10242</v>
      </c>
      <c r="G658" t="s">
        <v>74</v>
      </c>
      <c r="H658" t="s">
        <v>74</v>
      </c>
      <c r="I658" t="s">
        <v>10243</v>
      </c>
      <c r="J658" t="s">
        <v>10244</v>
      </c>
      <c r="K658" t="s">
        <v>74</v>
      </c>
      <c r="L658" t="s">
        <v>74</v>
      </c>
      <c r="M658" t="s">
        <v>77</v>
      </c>
      <c r="N658" t="s">
        <v>78</v>
      </c>
      <c r="O658" t="s">
        <v>74</v>
      </c>
      <c r="P658" t="s">
        <v>74</v>
      </c>
      <c r="Q658" t="s">
        <v>74</v>
      </c>
      <c r="R658" t="s">
        <v>74</v>
      </c>
      <c r="S658" t="s">
        <v>74</v>
      </c>
      <c r="T658" t="s">
        <v>74</v>
      </c>
      <c r="U658" t="s">
        <v>10245</v>
      </c>
      <c r="V658" t="s">
        <v>10246</v>
      </c>
      <c r="W658" t="s">
        <v>10247</v>
      </c>
      <c r="X658" t="s">
        <v>8930</v>
      </c>
      <c r="Y658" t="s">
        <v>10248</v>
      </c>
      <c r="Z658" t="s">
        <v>10249</v>
      </c>
      <c r="AA658" t="s">
        <v>74</v>
      </c>
      <c r="AB658" t="s">
        <v>74</v>
      </c>
      <c r="AC658" t="s">
        <v>74</v>
      </c>
      <c r="AD658" t="s">
        <v>74</v>
      </c>
      <c r="AE658" t="s">
        <v>74</v>
      </c>
      <c r="AF658" t="s">
        <v>74</v>
      </c>
      <c r="AG658">
        <v>15</v>
      </c>
      <c r="AH658">
        <v>0</v>
      </c>
      <c r="AI658">
        <v>1</v>
      </c>
      <c r="AJ658">
        <v>0</v>
      </c>
      <c r="AK658">
        <v>2</v>
      </c>
      <c r="AL658" t="s">
        <v>10250</v>
      </c>
      <c r="AM658" t="s">
        <v>10251</v>
      </c>
      <c r="AN658" t="s">
        <v>10252</v>
      </c>
      <c r="AO658" t="s">
        <v>10253</v>
      </c>
      <c r="AP658" t="s">
        <v>10254</v>
      </c>
      <c r="AQ658" t="s">
        <v>74</v>
      </c>
      <c r="AR658" t="s">
        <v>10255</v>
      </c>
      <c r="AS658" t="s">
        <v>10256</v>
      </c>
      <c r="AT658" t="s">
        <v>9746</v>
      </c>
      <c r="AU658">
        <v>2005</v>
      </c>
      <c r="AV658">
        <v>90</v>
      </c>
      <c r="AW658" t="s">
        <v>530</v>
      </c>
      <c r="AX658" t="s">
        <v>74</v>
      </c>
      <c r="AY658" t="s">
        <v>74</v>
      </c>
      <c r="AZ658" t="s">
        <v>74</v>
      </c>
      <c r="BA658" t="s">
        <v>74</v>
      </c>
      <c r="BB658">
        <v>165</v>
      </c>
      <c r="BC658">
        <v>177</v>
      </c>
      <c r="BD658" t="s">
        <v>74</v>
      </c>
      <c r="BE658" t="s">
        <v>10257</v>
      </c>
      <c r="BF658" t="str">
        <f>HYPERLINK("http://dx.doi.org/10.1007/s00703-004-0085-8","http://dx.doi.org/10.1007/s00703-004-0085-8")</f>
        <v>http://dx.doi.org/10.1007/s00703-004-0085-8</v>
      </c>
      <c r="BG658" t="s">
        <v>74</v>
      </c>
      <c r="BH658" t="s">
        <v>74</v>
      </c>
      <c r="BI658">
        <v>13</v>
      </c>
      <c r="BJ658" t="s">
        <v>2033</v>
      </c>
      <c r="BK658" t="s">
        <v>98</v>
      </c>
      <c r="BL658" t="s">
        <v>2033</v>
      </c>
      <c r="BM658" t="s">
        <v>10258</v>
      </c>
      <c r="BN658" t="s">
        <v>74</v>
      </c>
      <c r="BO658" t="s">
        <v>74</v>
      </c>
      <c r="BP658" t="s">
        <v>74</v>
      </c>
      <c r="BQ658" t="s">
        <v>74</v>
      </c>
      <c r="BR658" t="s">
        <v>101</v>
      </c>
      <c r="BS658" t="s">
        <v>10259</v>
      </c>
      <c r="BT658" t="str">
        <f>HYPERLINK("https%3A%2F%2Fwww.webofscience.com%2Fwos%2Fwoscc%2Ffull-record%2FWOS:000232794500004","View Full Record in Web of Science")</f>
        <v>View Full Record in Web of Science</v>
      </c>
    </row>
    <row r="659" spans="1:72" x14ac:dyDescent="0.15">
      <c r="A659" t="s">
        <v>72</v>
      </c>
      <c r="B659" t="s">
        <v>10260</v>
      </c>
      <c r="C659" t="s">
        <v>74</v>
      </c>
      <c r="D659" t="s">
        <v>74</v>
      </c>
      <c r="E659" t="s">
        <v>74</v>
      </c>
      <c r="F659" t="s">
        <v>10260</v>
      </c>
      <c r="G659" t="s">
        <v>74</v>
      </c>
      <c r="H659" t="s">
        <v>74</v>
      </c>
      <c r="I659" t="s">
        <v>10261</v>
      </c>
      <c r="J659" t="s">
        <v>10262</v>
      </c>
      <c r="K659" t="s">
        <v>74</v>
      </c>
      <c r="L659" t="s">
        <v>74</v>
      </c>
      <c r="M659" t="s">
        <v>77</v>
      </c>
      <c r="N659" t="s">
        <v>78</v>
      </c>
      <c r="O659" t="s">
        <v>74</v>
      </c>
      <c r="P659" t="s">
        <v>74</v>
      </c>
      <c r="Q659" t="s">
        <v>74</v>
      </c>
      <c r="R659" t="s">
        <v>74</v>
      </c>
      <c r="S659" t="s">
        <v>74</v>
      </c>
      <c r="T659" t="s">
        <v>74</v>
      </c>
      <c r="U659" t="s">
        <v>10263</v>
      </c>
      <c r="V659" t="s">
        <v>10264</v>
      </c>
      <c r="W659" t="s">
        <v>10265</v>
      </c>
      <c r="X659" t="s">
        <v>10266</v>
      </c>
      <c r="Y659" t="s">
        <v>10267</v>
      </c>
      <c r="Z659" t="s">
        <v>10268</v>
      </c>
      <c r="AA659" t="s">
        <v>10269</v>
      </c>
      <c r="AB659" t="s">
        <v>10270</v>
      </c>
      <c r="AC659" t="s">
        <v>74</v>
      </c>
      <c r="AD659" t="s">
        <v>74</v>
      </c>
      <c r="AE659" t="s">
        <v>74</v>
      </c>
      <c r="AF659" t="s">
        <v>74</v>
      </c>
      <c r="AG659">
        <v>56</v>
      </c>
      <c r="AH659">
        <v>39</v>
      </c>
      <c r="AI659">
        <v>50</v>
      </c>
      <c r="AJ659">
        <v>0</v>
      </c>
      <c r="AK659">
        <v>19</v>
      </c>
      <c r="AL659" t="s">
        <v>8744</v>
      </c>
      <c r="AM659" t="s">
        <v>8745</v>
      </c>
      <c r="AN659" t="s">
        <v>8746</v>
      </c>
      <c r="AO659" t="s">
        <v>10271</v>
      </c>
      <c r="AP659" t="s">
        <v>74</v>
      </c>
      <c r="AQ659" t="s">
        <v>74</v>
      </c>
      <c r="AR659" t="s">
        <v>10272</v>
      </c>
      <c r="AS659" t="s">
        <v>10273</v>
      </c>
      <c r="AT659" t="s">
        <v>9746</v>
      </c>
      <c r="AU659">
        <v>2005</v>
      </c>
      <c r="AV659">
        <v>151</v>
      </c>
      <c r="AW659" t="s">
        <v>74</v>
      </c>
      <c r="AX659">
        <v>10</v>
      </c>
      <c r="AY659" t="s">
        <v>74</v>
      </c>
      <c r="AZ659" t="s">
        <v>74</v>
      </c>
      <c r="BA659" t="s">
        <v>74</v>
      </c>
      <c r="BB659">
        <v>3237</v>
      </c>
      <c r="BC659">
        <v>3248</v>
      </c>
      <c r="BD659" t="s">
        <v>74</v>
      </c>
      <c r="BE659" t="s">
        <v>10274</v>
      </c>
      <c r="BF659" t="str">
        <f>HYPERLINK("http://dx.doi.org/10.1099/mic.0.27258-0","http://dx.doi.org/10.1099/mic.0.27258-0")</f>
        <v>http://dx.doi.org/10.1099/mic.0.27258-0</v>
      </c>
      <c r="BG659" t="s">
        <v>74</v>
      </c>
      <c r="BH659" t="s">
        <v>74</v>
      </c>
      <c r="BI659">
        <v>12</v>
      </c>
      <c r="BJ659" t="s">
        <v>2054</v>
      </c>
      <c r="BK659" t="s">
        <v>98</v>
      </c>
      <c r="BL659" t="s">
        <v>2054</v>
      </c>
      <c r="BM659" t="s">
        <v>10275</v>
      </c>
      <c r="BN659">
        <v>16207907</v>
      </c>
      <c r="BO659" t="s">
        <v>1900</v>
      </c>
      <c r="BP659" t="s">
        <v>74</v>
      </c>
      <c r="BQ659" t="s">
        <v>74</v>
      </c>
      <c r="BR659" t="s">
        <v>101</v>
      </c>
      <c r="BS659" t="s">
        <v>10276</v>
      </c>
      <c r="BT659" t="str">
        <f>HYPERLINK("https%3A%2F%2Fwww.webofscience.com%2Fwos%2Fwoscc%2Ffull-record%2FWOS:000232551300010","View Full Record in Web of Science")</f>
        <v>View Full Record in Web of Science</v>
      </c>
    </row>
    <row r="660" spans="1:72" x14ac:dyDescent="0.15">
      <c r="A660" t="s">
        <v>72</v>
      </c>
      <c r="B660" t="s">
        <v>10277</v>
      </c>
      <c r="C660" t="s">
        <v>74</v>
      </c>
      <c r="D660" t="s">
        <v>74</v>
      </c>
      <c r="E660" t="s">
        <v>74</v>
      </c>
      <c r="F660" t="s">
        <v>10277</v>
      </c>
      <c r="G660" t="s">
        <v>74</v>
      </c>
      <c r="H660" t="s">
        <v>74</v>
      </c>
      <c r="I660" t="s">
        <v>10278</v>
      </c>
      <c r="J660" t="s">
        <v>10279</v>
      </c>
      <c r="K660" t="s">
        <v>74</v>
      </c>
      <c r="L660" t="s">
        <v>74</v>
      </c>
      <c r="M660" t="s">
        <v>77</v>
      </c>
      <c r="N660" t="s">
        <v>78</v>
      </c>
      <c r="O660" t="s">
        <v>74</v>
      </c>
      <c r="P660" t="s">
        <v>74</v>
      </c>
      <c r="Q660" t="s">
        <v>74</v>
      </c>
      <c r="R660" t="s">
        <v>74</v>
      </c>
      <c r="S660" t="s">
        <v>74</v>
      </c>
      <c r="T660" t="s">
        <v>10280</v>
      </c>
      <c r="U660" t="s">
        <v>10281</v>
      </c>
      <c r="V660" t="s">
        <v>10282</v>
      </c>
      <c r="W660" t="s">
        <v>10283</v>
      </c>
      <c r="X660" t="s">
        <v>10284</v>
      </c>
      <c r="Y660" t="s">
        <v>10285</v>
      </c>
      <c r="Z660" t="s">
        <v>10286</v>
      </c>
      <c r="AA660" t="s">
        <v>10287</v>
      </c>
      <c r="AB660" t="s">
        <v>10288</v>
      </c>
      <c r="AC660" t="s">
        <v>74</v>
      </c>
      <c r="AD660" t="s">
        <v>74</v>
      </c>
      <c r="AE660" t="s">
        <v>74</v>
      </c>
      <c r="AF660" t="s">
        <v>74</v>
      </c>
      <c r="AG660">
        <v>58</v>
      </c>
      <c r="AH660">
        <v>107</v>
      </c>
      <c r="AI660">
        <v>123</v>
      </c>
      <c r="AJ660">
        <v>3</v>
      </c>
      <c r="AK660">
        <v>35</v>
      </c>
      <c r="AL660" t="s">
        <v>88</v>
      </c>
      <c r="AM660" t="s">
        <v>89</v>
      </c>
      <c r="AN660" t="s">
        <v>90</v>
      </c>
      <c r="AO660" t="s">
        <v>10289</v>
      </c>
      <c r="AP660" t="s">
        <v>10290</v>
      </c>
      <c r="AQ660" t="s">
        <v>74</v>
      </c>
      <c r="AR660" t="s">
        <v>10279</v>
      </c>
      <c r="AS660" t="s">
        <v>10291</v>
      </c>
      <c r="AT660" t="s">
        <v>9746</v>
      </c>
      <c r="AU660">
        <v>2005</v>
      </c>
      <c r="AV660">
        <v>145</v>
      </c>
      <c r="AW660">
        <v>4</v>
      </c>
      <c r="AX660" t="s">
        <v>74</v>
      </c>
      <c r="AY660" t="s">
        <v>74</v>
      </c>
      <c r="AZ660" t="s">
        <v>74</v>
      </c>
      <c r="BA660" t="s">
        <v>74</v>
      </c>
      <c r="BB660">
        <v>533</v>
      </c>
      <c r="BC660">
        <v>540</v>
      </c>
      <c r="BD660" t="s">
        <v>74</v>
      </c>
      <c r="BE660" t="s">
        <v>10292</v>
      </c>
      <c r="BF660" t="str">
        <f>HYPERLINK("http://dx.doi.org/10.1007/s00442-005-0156-7","http://dx.doi.org/10.1007/s00442-005-0156-7")</f>
        <v>http://dx.doi.org/10.1007/s00442-005-0156-7</v>
      </c>
      <c r="BG660" t="s">
        <v>74</v>
      </c>
      <c r="BH660" t="s">
        <v>74</v>
      </c>
      <c r="BI660">
        <v>8</v>
      </c>
      <c r="BJ660" t="s">
        <v>1154</v>
      </c>
      <c r="BK660" t="s">
        <v>98</v>
      </c>
      <c r="BL660" t="s">
        <v>1155</v>
      </c>
      <c r="BM660" t="s">
        <v>10293</v>
      </c>
      <c r="BN660">
        <v>16001219</v>
      </c>
      <c r="BO660" t="s">
        <v>74</v>
      </c>
      <c r="BP660" t="s">
        <v>74</v>
      </c>
      <c r="BQ660" t="s">
        <v>74</v>
      </c>
      <c r="BR660" t="s">
        <v>101</v>
      </c>
      <c r="BS660" t="s">
        <v>10294</v>
      </c>
      <c r="BT660" t="str">
        <f>HYPERLINK("https%3A%2F%2Fwww.webofscience.com%2Fwos%2Fwoscc%2Ffull-record%2FWOS:000232559900003","View Full Record in Web of Science")</f>
        <v>View Full Record in Web of Science</v>
      </c>
    </row>
    <row r="661" spans="1:72" x14ac:dyDescent="0.15">
      <c r="A661" t="s">
        <v>72</v>
      </c>
      <c r="B661" t="s">
        <v>10295</v>
      </c>
      <c r="C661" t="s">
        <v>74</v>
      </c>
      <c r="D661" t="s">
        <v>74</v>
      </c>
      <c r="E661" t="s">
        <v>74</v>
      </c>
      <c r="F661" t="s">
        <v>10295</v>
      </c>
      <c r="G661" t="s">
        <v>74</v>
      </c>
      <c r="H661" t="s">
        <v>74</v>
      </c>
      <c r="I661" t="s">
        <v>10296</v>
      </c>
      <c r="J661" t="s">
        <v>10297</v>
      </c>
      <c r="K661" t="s">
        <v>74</v>
      </c>
      <c r="L661" t="s">
        <v>74</v>
      </c>
      <c r="M661" t="s">
        <v>77</v>
      </c>
      <c r="N661" t="s">
        <v>78</v>
      </c>
      <c r="O661" t="s">
        <v>74</v>
      </c>
      <c r="P661" t="s">
        <v>74</v>
      </c>
      <c r="Q661" t="s">
        <v>74</v>
      </c>
      <c r="R661" t="s">
        <v>74</v>
      </c>
      <c r="S661" t="s">
        <v>74</v>
      </c>
      <c r="T661" t="s">
        <v>10298</v>
      </c>
      <c r="U661" t="s">
        <v>10299</v>
      </c>
      <c r="V661" t="s">
        <v>10300</v>
      </c>
      <c r="W661" t="s">
        <v>10301</v>
      </c>
      <c r="X661" t="s">
        <v>10302</v>
      </c>
      <c r="Y661" t="s">
        <v>10303</v>
      </c>
      <c r="Z661" t="s">
        <v>10304</v>
      </c>
      <c r="AA661" t="s">
        <v>10305</v>
      </c>
      <c r="AB661" t="s">
        <v>10306</v>
      </c>
      <c r="AC661" t="s">
        <v>74</v>
      </c>
      <c r="AD661" t="s">
        <v>74</v>
      </c>
      <c r="AE661" t="s">
        <v>74</v>
      </c>
      <c r="AF661" t="s">
        <v>74</v>
      </c>
      <c r="AG661">
        <v>26</v>
      </c>
      <c r="AH661">
        <v>36</v>
      </c>
      <c r="AI661">
        <v>39</v>
      </c>
      <c r="AJ661">
        <v>0</v>
      </c>
      <c r="AK661">
        <v>15</v>
      </c>
      <c r="AL661" t="s">
        <v>88</v>
      </c>
      <c r="AM661" t="s">
        <v>162</v>
      </c>
      <c r="AN661" t="s">
        <v>163</v>
      </c>
      <c r="AO661" t="s">
        <v>10307</v>
      </c>
      <c r="AP661" t="s">
        <v>10308</v>
      </c>
      <c r="AQ661" t="s">
        <v>74</v>
      </c>
      <c r="AR661" t="s">
        <v>10309</v>
      </c>
      <c r="AS661" t="s">
        <v>10310</v>
      </c>
      <c r="AT661" t="s">
        <v>9746</v>
      </c>
      <c r="AU661">
        <v>2005</v>
      </c>
      <c r="AV661">
        <v>35</v>
      </c>
      <c r="AW661">
        <v>5</v>
      </c>
      <c r="AX661" t="s">
        <v>74</v>
      </c>
      <c r="AY661" t="s">
        <v>74</v>
      </c>
      <c r="AZ661" t="s">
        <v>74</v>
      </c>
      <c r="BA661" t="s">
        <v>74</v>
      </c>
      <c r="BB661">
        <v>489</v>
      </c>
      <c r="BC661">
        <v>506</v>
      </c>
      <c r="BD661" t="s">
        <v>74</v>
      </c>
      <c r="BE661" t="s">
        <v>10311</v>
      </c>
      <c r="BF661" t="str">
        <f>HYPERLINK("http://dx.doi.org/10.1007/s11084-005-3528-4","http://dx.doi.org/10.1007/s11084-005-3528-4")</f>
        <v>http://dx.doi.org/10.1007/s11084-005-3528-4</v>
      </c>
      <c r="BG661" t="s">
        <v>74</v>
      </c>
      <c r="BH661" t="s">
        <v>74</v>
      </c>
      <c r="BI661">
        <v>18</v>
      </c>
      <c r="BJ661" t="s">
        <v>5207</v>
      </c>
      <c r="BK661" t="s">
        <v>98</v>
      </c>
      <c r="BL661" t="s">
        <v>5208</v>
      </c>
      <c r="BM661" t="s">
        <v>10312</v>
      </c>
      <c r="BN661">
        <v>16231211</v>
      </c>
      <c r="BO661" t="s">
        <v>74</v>
      </c>
      <c r="BP661" t="s">
        <v>74</v>
      </c>
      <c r="BQ661" t="s">
        <v>74</v>
      </c>
      <c r="BR661" t="s">
        <v>101</v>
      </c>
      <c r="BS661" t="s">
        <v>10313</v>
      </c>
      <c r="BT661" t="str">
        <f>HYPERLINK("https%3A%2F%2Fwww.webofscience.com%2Fwos%2Fwoscc%2Ffull-record%2FWOS:000235520600008","View Full Record in Web of Science")</f>
        <v>View Full Record in Web of Science</v>
      </c>
    </row>
    <row r="662" spans="1:72" x14ac:dyDescent="0.15">
      <c r="A662" t="s">
        <v>72</v>
      </c>
      <c r="B662" t="s">
        <v>10314</v>
      </c>
      <c r="C662" t="s">
        <v>74</v>
      </c>
      <c r="D662" t="s">
        <v>74</v>
      </c>
      <c r="E662" t="s">
        <v>74</v>
      </c>
      <c r="F662" t="s">
        <v>10314</v>
      </c>
      <c r="G662" t="s">
        <v>74</v>
      </c>
      <c r="H662" t="s">
        <v>74</v>
      </c>
      <c r="I662" t="s">
        <v>10315</v>
      </c>
      <c r="J662" t="s">
        <v>10316</v>
      </c>
      <c r="K662" t="s">
        <v>74</v>
      </c>
      <c r="L662" t="s">
        <v>74</v>
      </c>
      <c r="M662" t="s">
        <v>77</v>
      </c>
      <c r="N662" t="s">
        <v>78</v>
      </c>
      <c r="O662" t="s">
        <v>74</v>
      </c>
      <c r="P662" t="s">
        <v>74</v>
      </c>
      <c r="Q662" t="s">
        <v>74</v>
      </c>
      <c r="R662" t="s">
        <v>74</v>
      </c>
      <c r="S662" t="s">
        <v>74</v>
      </c>
      <c r="T662" t="s">
        <v>74</v>
      </c>
      <c r="U662" t="s">
        <v>10317</v>
      </c>
      <c r="V662" t="s">
        <v>10318</v>
      </c>
      <c r="W662" t="s">
        <v>10319</v>
      </c>
      <c r="X662" t="s">
        <v>6999</v>
      </c>
      <c r="Y662" t="s">
        <v>10320</v>
      </c>
      <c r="Z662" t="s">
        <v>7119</v>
      </c>
      <c r="AA662" t="s">
        <v>74</v>
      </c>
      <c r="AB662" t="s">
        <v>74</v>
      </c>
      <c r="AC662" t="s">
        <v>74</v>
      </c>
      <c r="AD662" t="s">
        <v>74</v>
      </c>
      <c r="AE662" t="s">
        <v>74</v>
      </c>
      <c r="AF662" t="s">
        <v>74</v>
      </c>
      <c r="AG662">
        <v>41</v>
      </c>
      <c r="AH662">
        <v>23</v>
      </c>
      <c r="AI662">
        <v>23</v>
      </c>
      <c r="AJ662">
        <v>3</v>
      </c>
      <c r="AK662">
        <v>23</v>
      </c>
      <c r="AL662" t="s">
        <v>2025</v>
      </c>
      <c r="AM662" t="s">
        <v>2026</v>
      </c>
      <c r="AN662" t="s">
        <v>2027</v>
      </c>
      <c r="AO662" t="s">
        <v>10321</v>
      </c>
      <c r="AP662" t="s">
        <v>10322</v>
      </c>
      <c r="AQ662" t="s">
        <v>74</v>
      </c>
      <c r="AR662" t="s">
        <v>10323</v>
      </c>
      <c r="AS662" t="s">
        <v>10324</v>
      </c>
      <c r="AT662" t="s">
        <v>9746</v>
      </c>
      <c r="AU662">
        <v>2005</v>
      </c>
      <c r="AV662">
        <v>125</v>
      </c>
      <c r="AW662">
        <v>2</v>
      </c>
      <c r="AX662" t="s">
        <v>74</v>
      </c>
      <c r="AY662" t="s">
        <v>74</v>
      </c>
      <c r="AZ662" t="s">
        <v>74</v>
      </c>
      <c r="BA662" t="s">
        <v>74</v>
      </c>
      <c r="BB662">
        <v>192</v>
      </c>
      <c r="BC662">
        <v>201</v>
      </c>
      <c r="BD662" t="s">
        <v>74</v>
      </c>
      <c r="BE662" t="s">
        <v>10325</v>
      </c>
      <c r="BF662" t="str">
        <f>HYPERLINK("http://dx.doi.org/10.1111/j.1399-3054.2005.00561.x","http://dx.doi.org/10.1111/j.1399-3054.2005.00561.x")</f>
        <v>http://dx.doi.org/10.1111/j.1399-3054.2005.00561.x</v>
      </c>
      <c r="BG662" t="s">
        <v>74</v>
      </c>
      <c r="BH662" t="s">
        <v>74</v>
      </c>
      <c r="BI662">
        <v>10</v>
      </c>
      <c r="BJ662" t="s">
        <v>574</v>
      </c>
      <c r="BK662" t="s">
        <v>98</v>
      </c>
      <c r="BL662" t="s">
        <v>574</v>
      </c>
      <c r="BM662" t="s">
        <v>10326</v>
      </c>
      <c r="BN662" t="s">
        <v>74</v>
      </c>
      <c r="BO662" t="s">
        <v>74</v>
      </c>
      <c r="BP662" t="s">
        <v>74</v>
      </c>
      <c r="BQ662" t="s">
        <v>74</v>
      </c>
      <c r="BR662" t="s">
        <v>101</v>
      </c>
      <c r="BS662" t="s">
        <v>10327</v>
      </c>
      <c r="BT662" t="str">
        <f>HYPERLINK("https%3A%2F%2Fwww.webofscience.com%2Fwos%2Fwoscc%2Ffull-record%2FWOS:000231677000005","View Full Record in Web of Science")</f>
        <v>View Full Record in Web of Science</v>
      </c>
    </row>
    <row r="663" spans="1:72" x14ac:dyDescent="0.15">
      <c r="A663" t="s">
        <v>72</v>
      </c>
      <c r="B663" t="s">
        <v>10328</v>
      </c>
      <c r="C663" t="s">
        <v>74</v>
      </c>
      <c r="D663" t="s">
        <v>74</v>
      </c>
      <c r="E663" t="s">
        <v>74</v>
      </c>
      <c r="F663" t="s">
        <v>10328</v>
      </c>
      <c r="G663" t="s">
        <v>74</v>
      </c>
      <c r="H663" t="s">
        <v>74</v>
      </c>
      <c r="I663" t="s">
        <v>10329</v>
      </c>
      <c r="J663" t="s">
        <v>3975</v>
      </c>
      <c r="K663" t="s">
        <v>74</v>
      </c>
      <c r="L663" t="s">
        <v>74</v>
      </c>
      <c r="M663" t="s">
        <v>77</v>
      </c>
      <c r="N663" t="s">
        <v>289</v>
      </c>
      <c r="O663" t="s">
        <v>74</v>
      </c>
      <c r="P663" t="s">
        <v>74</v>
      </c>
      <c r="Q663" t="s">
        <v>74</v>
      </c>
      <c r="R663" t="s">
        <v>74</v>
      </c>
      <c r="S663" t="s">
        <v>74</v>
      </c>
      <c r="T663" t="s">
        <v>74</v>
      </c>
      <c r="U663" t="s">
        <v>10330</v>
      </c>
      <c r="V663" t="s">
        <v>10331</v>
      </c>
      <c r="W663" t="s">
        <v>10332</v>
      </c>
      <c r="X663" t="s">
        <v>6176</v>
      </c>
      <c r="Y663" t="s">
        <v>10333</v>
      </c>
      <c r="Z663" t="s">
        <v>10334</v>
      </c>
      <c r="AA663" t="s">
        <v>10335</v>
      </c>
      <c r="AB663" t="s">
        <v>10336</v>
      </c>
      <c r="AC663" t="s">
        <v>74</v>
      </c>
      <c r="AD663" t="s">
        <v>74</v>
      </c>
      <c r="AE663" t="s">
        <v>74</v>
      </c>
      <c r="AF663" t="s">
        <v>74</v>
      </c>
      <c r="AG663">
        <v>222</v>
      </c>
      <c r="AH663">
        <v>208</v>
      </c>
      <c r="AI663">
        <v>245</v>
      </c>
      <c r="AJ663">
        <v>2</v>
      </c>
      <c r="AK663">
        <v>129</v>
      </c>
      <c r="AL663" t="s">
        <v>88</v>
      </c>
      <c r="AM663" t="s">
        <v>89</v>
      </c>
      <c r="AN663" t="s">
        <v>90</v>
      </c>
      <c r="AO663" t="s">
        <v>3985</v>
      </c>
      <c r="AP663" t="s">
        <v>3986</v>
      </c>
      <c r="AQ663" t="s">
        <v>74</v>
      </c>
      <c r="AR663" t="s">
        <v>3987</v>
      </c>
      <c r="AS663" t="s">
        <v>3988</v>
      </c>
      <c r="AT663" t="s">
        <v>9746</v>
      </c>
      <c r="AU663">
        <v>2005</v>
      </c>
      <c r="AV663">
        <v>28</v>
      </c>
      <c r="AW663">
        <v>10</v>
      </c>
      <c r="AX663" t="s">
        <v>74</v>
      </c>
      <c r="AY663" t="s">
        <v>74</v>
      </c>
      <c r="AZ663" t="s">
        <v>74</v>
      </c>
      <c r="BA663" t="s">
        <v>74</v>
      </c>
      <c r="BB663">
        <v>733</v>
      </c>
      <c r="BC663">
        <v>755</v>
      </c>
      <c r="BD663" t="s">
        <v>74</v>
      </c>
      <c r="BE663" t="s">
        <v>10337</v>
      </c>
      <c r="BF663" t="str">
        <f>HYPERLINK("http://dx.doi.org/10.1007/s00300-005-0013-5","http://dx.doi.org/10.1007/s00300-005-0013-5")</f>
        <v>http://dx.doi.org/10.1007/s00300-005-0013-5</v>
      </c>
      <c r="BG663" t="s">
        <v>74</v>
      </c>
      <c r="BH663" t="s">
        <v>74</v>
      </c>
      <c r="BI663">
        <v>23</v>
      </c>
      <c r="BJ663" t="s">
        <v>3990</v>
      </c>
      <c r="BK663" t="s">
        <v>98</v>
      </c>
      <c r="BL663" t="s">
        <v>147</v>
      </c>
      <c r="BM663" t="s">
        <v>10338</v>
      </c>
      <c r="BN663" t="s">
        <v>74</v>
      </c>
      <c r="BO663" t="s">
        <v>74</v>
      </c>
      <c r="BP663" t="s">
        <v>74</v>
      </c>
      <c r="BQ663" t="s">
        <v>74</v>
      </c>
      <c r="BR663" t="s">
        <v>101</v>
      </c>
      <c r="BS663" t="s">
        <v>10339</v>
      </c>
      <c r="BT663" t="str">
        <f>HYPERLINK("https%3A%2F%2Fwww.webofscience.com%2Fwos%2Fwoscc%2Ffull-record%2FWOS:000232859900001","View Full Record in Web of Science")</f>
        <v>View Full Record in Web of Science</v>
      </c>
    </row>
    <row r="664" spans="1:72" x14ac:dyDescent="0.15">
      <c r="A664" t="s">
        <v>72</v>
      </c>
      <c r="B664" t="s">
        <v>10340</v>
      </c>
      <c r="C664" t="s">
        <v>74</v>
      </c>
      <c r="D664" t="s">
        <v>74</v>
      </c>
      <c r="E664" t="s">
        <v>74</v>
      </c>
      <c r="F664" t="s">
        <v>10340</v>
      </c>
      <c r="G664" t="s">
        <v>74</v>
      </c>
      <c r="H664" t="s">
        <v>74</v>
      </c>
      <c r="I664" t="s">
        <v>10341</v>
      </c>
      <c r="J664" t="s">
        <v>3975</v>
      </c>
      <c r="K664" t="s">
        <v>74</v>
      </c>
      <c r="L664" t="s">
        <v>74</v>
      </c>
      <c r="M664" t="s">
        <v>77</v>
      </c>
      <c r="N664" t="s">
        <v>78</v>
      </c>
      <c r="O664" t="s">
        <v>74</v>
      </c>
      <c r="P664" t="s">
        <v>74</v>
      </c>
      <c r="Q664" t="s">
        <v>74</v>
      </c>
      <c r="R664" t="s">
        <v>74</v>
      </c>
      <c r="S664" t="s">
        <v>74</v>
      </c>
      <c r="T664" t="s">
        <v>74</v>
      </c>
      <c r="U664" t="s">
        <v>10342</v>
      </c>
      <c r="V664" t="s">
        <v>10343</v>
      </c>
      <c r="W664" t="s">
        <v>10344</v>
      </c>
      <c r="X664" t="s">
        <v>10345</v>
      </c>
      <c r="Y664" t="s">
        <v>10346</v>
      </c>
      <c r="Z664" t="s">
        <v>10347</v>
      </c>
      <c r="AA664" t="s">
        <v>74</v>
      </c>
      <c r="AB664" t="s">
        <v>74</v>
      </c>
      <c r="AC664" t="s">
        <v>74</v>
      </c>
      <c r="AD664" t="s">
        <v>74</v>
      </c>
      <c r="AE664" t="s">
        <v>74</v>
      </c>
      <c r="AF664" t="s">
        <v>74</v>
      </c>
      <c r="AG664">
        <v>31</v>
      </c>
      <c r="AH664">
        <v>10</v>
      </c>
      <c r="AI664">
        <v>10</v>
      </c>
      <c r="AJ664">
        <v>2</v>
      </c>
      <c r="AK664">
        <v>20</v>
      </c>
      <c r="AL664" t="s">
        <v>88</v>
      </c>
      <c r="AM664" t="s">
        <v>89</v>
      </c>
      <c r="AN664" t="s">
        <v>4001</v>
      </c>
      <c r="AO664" t="s">
        <v>3985</v>
      </c>
      <c r="AP664" t="s">
        <v>74</v>
      </c>
      <c r="AQ664" t="s">
        <v>74</v>
      </c>
      <c r="AR664" t="s">
        <v>3987</v>
      </c>
      <c r="AS664" t="s">
        <v>3988</v>
      </c>
      <c r="AT664" t="s">
        <v>9746</v>
      </c>
      <c r="AU664">
        <v>2005</v>
      </c>
      <c r="AV664">
        <v>28</v>
      </c>
      <c r="AW664">
        <v>10</v>
      </c>
      <c r="AX664" t="s">
        <v>74</v>
      </c>
      <c r="AY664" t="s">
        <v>74</v>
      </c>
      <c r="AZ664" t="s">
        <v>74</v>
      </c>
      <c r="BA664" t="s">
        <v>74</v>
      </c>
      <c r="BB664">
        <v>763</v>
      </c>
      <c r="BC664">
        <v>768</v>
      </c>
      <c r="BD664" t="s">
        <v>74</v>
      </c>
      <c r="BE664" t="s">
        <v>10348</v>
      </c>
      <c r="BF664" t="str">
        <f>HYPERLINK("http://dx.doi.org/10.1007/s00300-005-0005-5","http://dx.doi.org/10.1007/s00300-005-0005-5")</f>
        <v>http://dx.doi.org/10.1007/s00300-005-0005-5</v>
      </c>
      <c r="BG664" t="s">
        <v>74</v>
      </c>
      <c r="BH664" t="s">
        <v>74</v>
      </c>
      <c r="BI664">
        <v>6</v>
      </c>
      <c r="BJ664" t="s">
        <v>3990</v>
      </c>
      <c r="BK664" t="s">
        <v>98</v>
      </c>
      <c r="BL664" t="s">
        <v>147</v>
      </c>
      <c r="BM664" t="s">
        <v>10338</v>
      </c>
      <c r="BN664" t="s">
        <v>74</v>
      </c>
      <c r="BO664" t="s">
        <v>74</v>
      </c>
      <c r="BP664" t="s">
        <v>74</v>
      </c>
      <c r="BQ664" t="s">
        <v>74</v>
      </c>
      <c r="BR664" t="s">
        <v>101</v>
      </c>
      <c r="BS664" t="s">
        <v>10349</v>
      </c>
      <c r="BT664" t="str">
        <f>HYPERLINK("https%3A%2F%2Fwww.webofscience.com%2Fwos%2Fwoscc%2Ffull-record%2FWOS:000232859900003","View Full Record in Web of Science")</f>
        <v>View Full Record in Web of Science</v>
      </c>
    </row>
    <row r="665" spans="1:72" x14ac:dyDescent="0.15">
      <c r="A665" t="s">
        <v>72</v>
      </c>
      <c r="B665" t="s">
        <v>10350</v>
      </c>
      <c r="C665" t="s">
        <v>74</v>
      </c>
      <c r="D665" t="s">
        <v>74</v>
      </c>
      <c r="E665" t="s">
        <v>74</v>
      </c>
      <c r="F665" t="s">
        <v>10350</v>
      </c>
      <c r="G665" t="s">
        <v>74</v>
      </c>
      <c r="H665" t="s">
        <v>74</v>
      </c>
      <c r="I665" t="s">
        <v>10351</v>
      </c>
      <c r="J665" t="s">
        <v>3975</v>
      </c>
      <c r="K665" t="s">
        <v>74</v>
      </c>
      <c r="L665" t="s">
        <v>74</v>
      </c>
      <c r="M665" t="s">
        <v>77</v>
      </c>
      <c r="N665" t="s">
        <v>78</v>
      </c>
      <c r="O665" t="s">
        <v>74</v>
      </c>
      <c r="P665" t="s">
        <v>74</v>
      </c>
      <c r="Q665" t="s">
        <v>74</v>
      </c>
      <c r="R665" t="s">
        <v>74</v>
      </c>
      <c r="S665" t="s">
        <v>74</v>
      </c>
      <c r="T665" t="s">
        <v>10352</v>
      </c>
      <c r="U665" t="s">
        <v>10353</v>
      </c>
      <c r="V665" t="s">
        <v>10354</v>
      </c>
      <c r="W665" t="s">
        <v>10355</v>
      </c>
      <c r="X665" t="s">
        <v>10356</v>
      </c>
      <c r="Y665" t="s">
        <v>10357</v>
      </c>
      <c r="Z665" t="s">
        <v>10358</v>
      </c>
      <c r="AA665" t="s">
        <v>74</v>
      </c>
      <c r="AB665" t="s">
        <v>74</v>
      </c>
      <c r="AC665" t="s">
        <v>74</v>
      </c>
      <c r="AD665" t="s">
        <v>74</v>
      </c>
      <c r="AE665" t="s">
        <v>74</v>
      </c>
      <c r="AF665" t="s">
        <v>74</v>
      </c>
      <c r="AG665">
        <v>24</v>
      </c>
      <c r="AH665">
        <v>11</v>
      </c>
      <c r="AI665">
        <v>11</v>
      </c>
      <c r="AJ665">
        <v>0</v>
      </c>
      <c r="AK665">
        <v>6</v>
      </c>
      <c r="AL665" t="s">
        <v>88</v>
      </c>
      <c r="AM665" t="s">
        <v>89</v>
      </c>
      <c r="AN665" t="s">
        <v>4001</v>
      </c>
      <c r="AO665" t="s">
        <v>3985</v>
      </c>
      <c r="AP665" t="s">
        <v>74</v>
      </c>
      <c r="AQ665" t="s">
        <v>74</v>
      </c>
      <c r="AR665" t="s">
        <v>3987</v>
      </c>
      <c r="AS665" t="s">
        <v>3988</v>
      </c>
      <c r="AT665" t="s">
        <v>9746</v>
      </c>
      <c r="AU665">
        <v>2005</v>
      </c>
      <c r="AV665">
        <v>28</v>
      </c>
      <c r="AW665">
        <v>10</v>
      </c>
      <c r="AX665" t="s">
        <v>74</v>
      </c>
      <c r="AY665" t="s">
        <v>74</v>
      </c>
      <c r="AZ665" t="s">
        <v>74</v>
      </c>
      <c r="BA665" t="s">
        <v>74</v>
      </c>
      <c r="BB665">
        <v>776</v>
      </c>
      <c r="BC665">
        <v>783</v>
      </c>
      <c r="BD665" t="s">
        <v>74</v>
      </c>
      <c r="BE665" t="s">
        <v>10359</v>
      </c>
      <c r="BF665" t="str">
        <f>HYPERLINK("http://dx.doi.org/10.1007/s00300-005-0003-7","http://dx.doi.org/10.1007/s00300-005-0003-7")</f>
        <v>http://dx.doi.org/10.1007/s00300-005-0003-7</v>
      </c>
      <c r="BG665" t="s">
        <v>74</v>
      </c>
      <c r="BH665" t="s">
        <v>74</v>
      </c>
      <c r="BI665">
        <v>8</v>
      </c>
      <c r="BJ665" t="s">
        <v>3990</v>
      </c>
      <c r="BK665" t="s">
        <v>98</v>
      </c>
      <c r="BL665" t="s">
        <v>147</v>
      </c>
      <c r="BM665" t="s">
        <v>10338</v>
      </c>
      <c r="BN665" t="s">
        <v>74</v>
      </c>
      <c r="BO665" t="s">
        <v>74</v>
      </c>
      <c r="BP665" t="s">
        <v>74</v>
      </c>
      <c r="BQ665" t="s">
        <v>74</v>
      </c>
      <c r="BR665" t="s">
        <v>101</v>
      </c>
      <c r="BS665" t="s">
        <v>10360</v>
      </c>
      <c r="BT665" t="str">
        <f>HYPERLINK("https%3A%2F%2Fwww.webofscience.com%2Fwos%2Fwoscc%2Ffull-record%2FWOS:000232859900005","View Full Record in Web of Science")</f>
        <v>View Full Record in Web of Science</v>
      </c>
    </row>
    <row r="666" spans="1:72" x14ac:dyDescent="0.15">
      <c r="A666" t="s">
        <v>72</v>
      </c>
      <c r="B666" t="s">
        <v>10361</v>
      </c>
      <c r="C666" t="s">
        <v>74</v>
      </c>
      <c r="D666" t="s">
        <v>74</v>
      </c>
      <c r="E666" t="s">
        <v>74</v>
      </c>
      <c r="F666" t="s">
        <v>10361</v>
      </c>
      <c r="G666" t="s">
        <v>74</v>
      </c>
      <c r="H666" t="s">
        <v>74</v>
      </c>
      <c r="I666" t="s">
        <v>10362</v>
      </c>
      <c r="J666" t="s">
        <v>3975</v>
      </c>
      <c r="K666" t="s">
        <v>74</v>
      </c>
      <c r="L666" t="s">
        <v>74</v>
      </c>
      <c r="M666" t="s">
        <v>77</v>
      </c>
      <c r="N666" t="s">
        <v>78</v>
      </c>
      <c r="O666" t="s">
        <v>74</v>
      </c>
      <c r="P666" t="s">
        <v>74</v>
      </c>
      <c r="Q666" t="s">
        <v>74</v>
      </c>
      <c r="R666" t="s">
        <v>74</v>
      </c>
      <c r="S666" t="s">
        <v>74</v>
      </c>
      <c r="T666" t="s">
        <v>74</v>
      </c>
      <c r="U666" t="s">
        <v>10363</v>
      </c>
      <c r="V666" t="s">
        <v>10364</v>
      </c>
      <c r="W666" t="s">
        <v>10365</v>
      </c>
      <c r="X666" t="s">
        <v>10366</v>
      </c>
      <c r="Y666" t="s">
        <v>10367</v>
      </c>
      <c r="Z666" t="s">
        <v>10368</v>
      </c>
      <c r="AA666" t="s">
        <v>10369</v>
      </c>
      <c r="AB666" t="s">
        <v>10370</v>
      </c>
      <c r="AC666" t="s">
        <v>74</v>
      </c>
      <c r="AD666" t="s">
        <v>74</v>
      </c>
      <c r="AE666" t="s">
        <v>74</v>
      </c>
      <c r="AF666" t="s">
        <v>74</v>
      </c>
      <c r="AG666">
        <v>13</v>
      </c>
      <c r="AH666">
        <v>6</v>
      </c>
      <c r="AI666">
        <v>6</v>
      </c>
      <c r="AJ666">
        <v>0</v>
      </c>
      <c r="AK666">
        <v>7</v>
      </c>
      <c r="AL666" t="s">
        <v>88</v>
      </c>
      <c r="AM666" t="s">
        <v>89</v>
      </c>
      <c r="AN666" t="s">
        <v>90</v>
      </c>
      <c r="AO666" t="s">
        <v>3985</v>
      </c>
      <c r="AP666" t="s">
        <v>3986</v>
      </c>
      <c r="AQ666" t="s">
        <v>74</v>
      </c>
      <c r="AR666" t="s">
        <v>3987</v>
      </c>
      <c r="AS666" t="s">
        <v>3988</v>
      </c>
      <c r="AT666" t="s">
        <v>9746</v>
      </c>
      <c r="AU666">
        <v>2005</v>
      </c>
      <c r="AV666">
        <v>28</v>
      </c>
      <c r="AW666">
        <v>10</v>
      </c>
      <c r="AX666" t="s">
        <v>74</v>
      </c>
      <c r="AY666" t="s">
        <v>74</v>
      </c>
      <c r="AZ666" t="s">
        <v>74</v>
      </c>
      <c r="BA666" t="s">
        <v>74</v>
      </c>
      <c r="BB666">
        <v>802</v>
      </c>
      <c r="BC666">
        <v>804</v>
      </c>
      <c r="BD666" t="s">
        <v>74</v>
      </c>
      <c r="BE666" t="s">
        <v>10371</v>
      </c>
      <c r="BF666" t="str">
        <f>HYPERLINK("http://dx.doi.org/10.1007/s00300-005-0023-3","http://dx.doi.org/10.1007/s00300-005-0023-3")</f>
        <v>http://dx.doi.org/10.1007/s00300-005-0023-3</v>
      </c>
      <c r="BG666" t="s">
        <v>74</v>
      </c>
      <c r="BH666" t="s">
        <v>74</v>
      </c>
      <c r="BI666">
        <v>3</v>
      </c>
      <c r="BJ666" t="s">
        <v>3990</v>
      </c>
      <c r="BK666" t="s">
        <v>98</v>
      </c>
      <c r="BL666" t="s">
        <v>147</v>
      </c>
      <c r="BM666" t="s">
        <v>10338</v>
      </c>
      <c r="BN666" t="s">
        <v>74</v>
      </c>
      <c r="BO666" t="s">
        <v>74</v>
      </c>
      <c r="BP666" t="s">
        <v>74</v>
      </c>
      <c r="BQ666" t="s">
        <v>74</v>
      </c>
      <c r="BR666" t="s">
        <v>101</v>
      </c>
      <c r="BS666" t="s">
        <v>10372</v>
      </c>
      <c r="BT666" t="str">
        <f>HYPERLINK("https%3A%2F%2Fwww.webofscience.com%2Fwos%2Fwoscc%2Ffull-record%2FWOS:000232859900008","View Full Record in Web of Science")</f>
        <v>View Full Record in Web of Science</v>
      </c>
    </row>
    <row r="667" spans="1:72" x14ac:dyDescent="0.15">
      <c r="A667" t="s">
        <v>72</v>
      </c>
      <c r="B667" t="s">
        <v>10373</v>
      </c>
      <c r="C667" t="s">
        <v>74</v>
      </c>
      <c r="D667" t="s">
        <v>74</v>
      </c>
      <c r="E667" t="s">
        <v>74</v>
      </c>
      <c r="F667" t="s">
        <v>10373</v>
      </c>
      <c r="G667" t="s">
        <v>74</v>
      </c>
      <c r="H667" t="s">
        <v>74</v>
      </c>
      <c r="I667" t="s">
        <v>10374</v>
      </c>
      <c r="J667" t="s">
        <v>3975</v>
      </c>
      <c r="K667" t="s">
        <v>74</v>
      </c>
      <c r="L667" t="s">
        <v>74</v>
      </c>
      <c r="M667" t="s">
        <v>77</v>
      </c>
      <c r="N667" t="s">
        <v>78</v>
      </c>
      <c r="O667" t="s">
        <v>74</v>
      </c>
      <c r="P667" t="s">
        <v>74</v>
      </c>
      <c r="Q667" t="s">
        <v>74</v>
      </c>
      <c r="R667" t="s">
        <v>74</v>
      </c>
      <c r="S667" t="s">
        <v>74</v>
      </c>
      <c r="T667" t="s">
        <v>74</v>
      </c>
      <c r="U667" t="s">
        <v>10375</v>
      </c>
      <c r="V667" t="s">
        <v>10376</v>
      </c>
      <c r="W667" t="s">
        <v>10377</v>
      </c>
      <c r="X667" t="s">
        <v>426</v>
      </c>
      <c r="Y667" t="s">
        <v>10378</v>
      </c>
      <c r="Z667" t="s">
        <v>10379</v>
      </c>
      <c r="AA667" t="s">
        <v>10380</v>
      </c>
      <c r="AB667" t="s">
        <v>10381</v>
      </c>
      <c r="AC667" t="s">
        <v>74</v>
      </c>
      <c r="AD667" t="s">
        <v>74</v>
      </c>
      <c r="AE667" t="s">
        <v>74</v>
      </c>
      <c r="AF667" t="s">
        <v>74</v>
      </c>
      <c r="AG667">
        <v>48</v>
      </c>
      <c r="AH667">
        <v>31</v>
      </c>
      <c r="AI667">
        <v>38</v>
      </c>
      <c r="AJ667">
        <v>0</v>
      </c>
      <c r="AK667">
        <v>10</v>
      </c>
      <c r="AL667" t="s">
        <v>88</v>
      </c>
      <c r="AM667" t="s">
        <v>89</v>
      </c>
      <c r="AN667" t="s">
        <v>90</v>
      </c>
      <c r="AO667" t="s">
        <v>3985</v>
      </c>
      <c r="AP667" t="s">
        <v>3986</v>
      </c>
      <c r="AQ667" t="s">
        <v>74</v>
      </c>
      <c r="AR667" t="s">
        <v>3987</v>
      </c>
      <c r="AS667" t="s">
        <v>3988</v>
      </c>
      <c r="AT667" t="s">
        <v>9746</v>
      </c>
      <c r="AU667">
        <v>2005</v>
      </c>
      <c r="AV667">
        <v>28</v>
      </c>
      <c r="AW667">
        <v>11</v>
      </c>
      <c r="AX667" t="s">
        <v>74</v>
      </c>
      <c r="AY667" t="s">
        <v>74</v>
      </c>
      <c r="AZ667" t="s">
        <v>74</v>
      </c>
      <c r="BA667" t="s">
        <v>74</v>
      </c>
      <c r="BB667">
        <v>805</v>
      </c>
      <c r="BC667">
        <v>814</v>
      </c>
      <c r="BD667" t="s">
        <v>74</v>
      </c>
      <c r="BE667" t="s">
        <v>10382</v>
      </c>
      <c r="BF667" t="str">
        <f>HYPERLINK("http://dx.doi.org/10.1007/s00300-005-0018-0","http://dx.doi.org/10.1007/s00300-005-0018-0")</f>
        <v>http://dx.doi.org/10.1007/s00300-005-0018-0</v>
      </c>
      <c r="BG667" t="s">
        <v>74</v>
      </c>
      <c r="BH667" t="s">
        <v>74</v>
      </c>
      <c r="BI667">
        <v>10</v>
      </c>
      <c r="BJ667" t="s">
        <v>3990</v>
      </c>
      <c r="BK667" t="s">
        <v>98</v>
      </c>
      <c r="BL667" t="s">
        <v>147</v>
      </c>
      <c r="BM667" t="s">
        <v>10383</v>
      </c>
      <c r="BN667" t="s">
        <v>74</v>
      </c>
      <c r="BO667" t="s">
        <v>534</v>
      </c>
      <c r="BP667" t="s">
        <v>74</v>
      </c>
      <c r="BQ667" t="s">
        <v>74</v>
      </c>
      <c r="BR667" t="s">
        <v>101</v>
      </c>
      <c r="BS667" t="s">
        <v>10384</v>
      </c>
      <c r="BT667" t="str">
        <f>HYPERLINK("https%3A%2F%2Fwww.webofscience.com%2Fwos%2Fwoscc%2Ffull-record%2FWOS:000233324600001","View Full Record in Web of Science")</f>
        <v>View Full Record in Web of Science</v>
      </c>
    </row>
    <row r="668" spans="1:72" x14ac:dyDescent="0.15">
      <c r="A668" t="s">
        <v>72</v>
      </c>
      <c r="B668" t="s">
        <v>10385</v>
      </c>
      <c r="C668" t="s">
        <v>74</v>
      </c>
      <c r="D668" t="s">
        <v>74</v>
      </c>
      <c r="E668" t="s">
        <v>74</v>
      </c>
      <c r="F668" t="s">
        <v>10385</v>
      </c>
      <c r="G668" t="s">
        <v>74</v>
      </c>
      <c r="H668" t="s">
        <v>74</v>
      </c>
      <c r="I668" t="s">
        <v>10386</v>
      </c>
      <c r="J668" t="s">
        <v>3975</v>
      </c>
      <c r="K668" t="s">
        <v>74</v>
      </c>
      <c r="L668" t="s">
        <v>74</v>
      </c>
      <c r="M668" t="s">
        <v>77</v>
      </c>
      <c r="N668" t="s">
        <v>78</v>
      </c>
      <c r="O668" t="s">
        <v>74</v>
      </c>
      <c r="P668" t="s">
        <v>74</v>
      </c>
      <c r="Q668" t="s">
        <v>74</v>
      </c>
      <c r="R668" t="s">
        <v>74</v>
      </c>
      <c r="S668" t="s">
        <v>74</v>
      </c>
      <c r="T668" t="s">
        <v>74</v>
      </c>
      <c r="U668" t="s">
        <v>10387</v>
      </c>
      <c r="V668" t="s">
        <v>10388</v>
      </c>
      <c r="W668" t="s">
        <v>10389</v>
      </c>
      <c r="X668" t="s">
        <v>10390</v>
      </c>
      <c r="Y668" t="s">
        <v>10391</v>
      </c>
      <c r="Z668" t="s">
        <v>10392</v>
      </c>
      <c r="AA668" t="s">
        <v>10393</v>
      </c>
      <c r="AB668" t="s">
        <v>74</v>
      </c>
      <c r="AC668" t="s">
        <v>74</v>
      </c>
      <c r="AD668" t="s">
        <v>74</v>
      </c>
      <c r="AE668" t="s">
        <v>74</v>
      </c>
      <c r="AF668" t="s">
        <v>74</v>
      </c>
      <c r="AG668">
        <v>40</v>
      </c>
      <c r="AH668">
        <v>14</v>
      </c>
      <c r="AI668">
        <v>16</v>
      </c>
      <c r="AJ668">
        <v>0</v>
      </c>
      <c r="AK668">
        <v>16</v>
      </c>
      <c r="AL668" t="s">
        <v>88</v>
      </c>
      <c r="AM668" t="s">
        <v>89</v>
      </c>
      <c r="AN668" t="s">
        <v>3984</v>
      </c>
      <c r="AO668" t="s">
        <v>3985</v>
      </c>
      <c r="AP668" t="s">
        <v>3986</v>
      </c>
      <c r="AQ668" t="s">
        <v>74</v>
      </c>
      <c r="AR668" t="s">
        <v>3987</v>
      </c>
      <c r="AS668" t="s">
        <v>3988</v>
      </c>
      <c r="AT668" t="s">
        <v>9746</v>
      </c>
      <c r="AU668">
        <v>2005</v>
      </c>
      <c r="AV668">
        <v>28</v>
      </c>
      <c r="AW668">
        <v>11</v>
      </c>
      <c r="AX668" t="s">
        <v>74</v>
      </c>
      <c r="AY668" t="s">
        <v>74</v>
      </c>
      <c r="AZ668" t="s">
        <v>74</v>
      </c>
      <c r="BA668" t="s">
        <v>74</v>
      </c>
      <c r="BB668">
        <v>815</v>
      </c>
      <c r="BC668">
        <v>821</v>
      </c>
      <c r="BD668" t="s">
        <v>74</v>
      </c>
      <c r="BE668" t="s">
        <v>10394</v>
      </c>
      <c r="BF668" t="str">
        <f>HYPERLINK("http://dx.doi.org/10.1007/s00300-005-0014-4","http://dx.doi.org/10.1007/s00300-005-0014-4")</f>
        <v>http://dx.doi.org/10.1007/s00300-005-0014-4</v>
      </c>
      <c r="BG668" t="s">
        <v>74</v>
      </c>
      <c r="BH668" t="s">
        <v>74</v>
      </c>
      <c r="BI668">
        <v>7</v>
      </c>
      <c r="BJ668" t="s">
        <v>3990</v>
      </c>
      <c r="BK668" t="s">
        <v>98</v>
      </c>
      <c r="BL668" t="s">
        <v>147</v>
      </c>
      <c r="BM668" t="s">
        <v>10383</v>
      </c>
      <c r="BN668" t="s">
        <v>74</v>
      </c>
      <c r="BO668" t="s">
        <v>74</v>
      </c>
      <c r="BP668" t="s">
        <v>74</v>
      </c>
      <c r="BQ668" t="s">
        <v>74</v>
      </c>
      <c r="BR668" t="s">
        <v>101</v>
      </c>
      <c r="BS668" t="s">
        <v>10395</v>
      </c>
      <c r="BT668" t="str">
        <f>HYPERLINK("https%3A%2F%2Fwww.webofscience.com%2Fwos%2Fwoscc%2Ffull-record%2FWOS:000233324600002","View Full Record in Web of Science")</f>
        <v>View Full Record in Web of Science</v>
      </c>
    </row>
    <row r="669" spans="1:72" x14ac:dyDescent="0.15">
      <c r="A669" t="s">
        <v>72</v>
      </c>
      <c r="B669" t="s">
        <v>10396</v>
      </c>
      <c r="C669" t="s">
        <v>74</v>
      </c>
      <c r="D669" t="s">
        <v>74</v>
      </c>
      <c r="E669" t="s">
        <v>74</v>
      </c>
      <c r="F669" t="s">
        <v>10396</v>
      </c>
      <c r="G669" t="s">
        <v>74</v>
      </c>
      <c r="H669" t="s">
        <v>74</v>
      </c>
      <c r="I669" t="s">
        <v>10397</v>
      </c>
      <c r="J669" t="s">
        <v>3975</v>
      </c>
      <c r="K669" t="s">
        <v>74</v>
      </c>
      <c r="L669" t="s">
        <v>74</v>
      </c>
      <c r="M669" t="s">
        <v>77</v>
      </c>
      <c r="N669" t="s">
        <v>78</v>
      </c>
      <c r="O669" t="s">
        <v>74</v>
      </c>
      <c r="P669" t="s">
        <v>74</v>
      </c>
      <c r="Q669" t="s">
        <v>74</v>
      </c>
      <c r="R669" t="s">
        <v>74</v>
      </c>
      <c r="S669" t="s">
        <v>74</v>
      </c>
      <c r="T669" t="s">
        <v>74</v>
      </c>
      <c r="U669" t="s">
        <v>10398</v>
      </c>
      <c r="V669" t="s">
        <v>10399</v>
      </c>
      <c r="W669" t="s">
        <v>10400</v>
      </c>
      <c r="X669" t="s">
        <v>10401</v>
      </c>
      <c r="Y669" t="s">
        <v>10402</v>
      </c>
      <c r="Z669" t="s">
        <v>10403</v>
      </c>
      <c r="AA669" t="s">
        <v>2556</v>
      </c>
      <c r="AB669" t="s">
        <v>2557</v>
      </c>
      <c r="AC669" t="s">
        <v>74</v>
      </c>
      <c r="AD669" t="s">
        <v>74</v>
      </c>
      <c r="AE669" t="s">
        <v>74</v>
      </c>
      <c r="AF669" t="s">
        <v>74</v>
      </c>
      <c r="AG669">
        <v>30</v>
      </c>
      <c r="AH669">
        <v>35</v>
      </c>
      <c r="AI669">
        <v>39</v>
      </c>
      <c r="AJ669">
        <v>0</v>
      </c>
      <c r="AK669">
        <v>14</v>
      </c>
      <c r="AL669" t="s">
        <v>88</v>
      </c>
      <c r="AM669" t="s">
        <v>89</v>
      </c>
      <c r="AN669" t="s">
        <v>90</v>
      </c>
      <c r="AO669" t="s">
        <v>3985</v>
      </c>
      <c r="AP669" t="s">
        <v>3986</v>
      </c>
      <c r="AQ669" t="s">
        <v>74</v>
      </c>
      <c r="AR669" t="s">
        <v>3987</v>
      </c>
      <c r="AS669" t="s">
        <v>3988</v>
      </c>
      <c r="AT669" t="s">
        <v>9746</v>
      </c>
      <c r="AU669">
        <v>2005</v>
      </c>
      <c r="AV669">
        <v>28</v>
      </c>
      <c r="AW669">
        <v>11</v>
      </c>
      <c r="AX669" t="s">
        <v>74</v>
      </c>
      <c r="AY669" t="s">
        <v>74</v>
      </c>
      <c r="AZ669" t="s">
        <v>74</v>
      </c>
      <c r="BA669" t="s">
        <v>74</v>
      </c>
      <c r="BB669">
        <v>822</v>
      </c>
      <c r="BC669">
        <v>827</v>
      </c>
      <c r="BD669" t="s">
        <v>74</v>
      </c>
      <c r="BE669" t="s">
        <v>10404</v>
      </c>
      <c r="BF669" t="str">
        <f>HYPERLINK("http://dx.doi.org/10.1007/s00300-005-0011-7","http://dx.doi.org/10.1007/s00300-005-0011-7")</f>
        <v>http://dx.doi.org/10.1007/s00300-005-0011-7</v>
      </c>
      <c r="BG669" t="s">
        <v>74</v>
      </c>
      <c r="BH669" t="s">
        <v>74</v>
      </c>
      <c r="BI669">
        <v>6</v>
      </c>
      <c r="BJ669" t="s">
        <v>3990</v>
      </c>
      <c r="BK669" t="s">
        <v>98</v>
      </c>
      <c r="BL669" t="s">
        <v>147</v>
      </c>
      <c r="BM669" t="s">
        <v>10383</v>
      </c>
      <c r="BN669" t="s">
        <v>74</v>
      </c>
      <c r="BO669" t="s">
        <v>74</v>
      </c>
      <c r="BP669" t="s">
        <v>74</v>
      </c>
      <c r="BQ669" t="s">
        <v>74</v>
      </c>
      <c r="BR669" t="s">
        <v>101</v>
      </c>
      <c r="BS669" t="s">
        <v>10405</v>
      </c>
      <c r="BT669" t="str">
        <f>HYPERLINK("https%3A%2F%2Fwww.webofscience.com%2Fwos%2Fwoscc%2Ffull-record%2FWOS:000233324600003","View Full Record in Web of Science")</f>
        <v>View Full Record in Web of Science</v>
      </c>
    </row>
    <row r="670" spans="1:72" x14ac:dyDescent="0.15">
      <c r="A670" t="s">
        <v>72</v>
      </c>
      <c r="B670" t="s">
        <v>10406</v>
      </c>
      <c r="C670" t="s">
        <v>74</v>
      </c>
      <c r="D670" t="s">
        <v>74</v>
      </c>
      <c r="E670" t="s">
        <v>74</v>
      </c>
      <c r="F670" t="s">
        <v>10406</v>
      </c>
      <c r="G670" t="s">
        <v>74</v>
      </c>
      <c r="H670" t="s">
        <v>74</v>
      </c>
      <c r="I670" t="s">
        <v>10407</v>
      </c>
      <c r="J670" t="s">
        <v>3975</v>
      </c>
      <c r="K670" t="s">
        <v>74</v>
      </c>
      <c r="L670" t="s">
        <v>74</v>
      </c>
      <c r="M670" t="s">
        <v>77</v>
      </c>
      <c r="N670" t="s">
        <v>78</v>
      </c>
      <c r="O670" t="s">
        <v>74</v>
      </c>
      <c r="P670" t="s">
        <v>74</v>
      </c>
      <c r="Q670" t="s">
        <v>74</v>
      </c>
      <c r="R670" t="s">
        <v>74</v>
      </c>
      <c r="S670" t="s">
        <v>74</v>
      </c>
      <c r="T670" t="s">
        <v>74</v>
      </c>
      <c r="U670" t="s">
        <v>10408</v>
      </c>
      <c r="V670" t="s">
        <v>10409</v>
      </c>
      <c r="W670" t="s">
        <v>10410</v>
      </c>
      <c r="X670" t="s">
        <v>10411</v>
      </c>
      <c r="Y670" t="s">
        <v>10412</v>
      </c>
      <c r="Z670" t="s">
        <v>10413</v>
      </c>
      <c r="AA670" t="s">
        <v>74</v>
      </c>
      <c r="AB670" t="s">
        <v>74</v>
      </c>
      <c r="AC670" t="s">
        <v>74</v>
      </c>
      <c r="AD670" t="s">
        <v>74</v>
      </c>
      <c r="AE670" t="s">
        <v>74</v>
      </c>
      <c r="AF670" t="s">
        <v>74</v>
      </c>
      <c r="AG670">
        <v>26</v>
      </c>
      <c r="AH670">
        <v>40</v>
      </c>
      <c r="AI670">
        <v>43</v>
      </c>
      <c r="AJ670">
        <v>0</v>
      </c>
      <c r="AK670">
        <v>21</v>
      </c>
      <c r="AL670" t="s">
        <v>88</v>
      </c>
      <c r="AM670" t="s">
        <v>89</v>
      </c>
      <c r="AN670" t="s">
        <v>3984</v>
      </c>
      <c r="AO670" t="s">
        <v>3985</v>
      </c>
      <c r="AP670" t="s">
        <v>3986</v>
      </c>
      <c r="AQ670" t="s">
        <v>74</v>
      </c>
      <c r="AR670" t="s">
        <v>3987</v>
      </c>
      <c r="AS670" t="s">
        <v>3988</v>
      </c>
      <c r="AT670" t="s">
        <v>9746</v>
      </c>
      <c r="AU670">
        <v>2005</v>
      </c>
      <c r="AV670">
        <v>28</v>
      </c>
      <c r="AW670">
        <v>11</v>
      </c>
      <c r="AX670" t="s">
        <v>74</v>
      </c>
      <c r="AY670" t="s">
        <v>74</v>
      </c>
      <c r="AZ670" t="s">
        <v>74</v>
      </c>
      <c r="BA670" t="s">
        <v>74</v>
      </c>
      <c r="BB670">
        <v>828</v>
      </c>
      <c r="BC670">
        <v>832</v>
      </c>
      <c r="BD670" t="s">
        <v>74</v>
      </c>
      <c r="BE670" t="s">
        <v>10414</v>
      </c>
      <c r="BF670" t="str">
        <f>HYPERLINK("http://dx.doi.org/10.1007/s00300-005-0010-8","http://dx.doi.org/10.1007/s00300-005-0010-8")</f>
        <v>http://dx.doi.org/10.1007/s00300-005-0010-8</v>
      </c>
      <c r="BG670" t="s">
        <v>74</v>
      </c>
      <c r="BH670" t="s">
        <v>74</v>
      </c>
      <c r="BI670">
        <v>5</v>
      </c>
      <c r="BJ670" t="s">
        <v>3990</v>
      </c>
      <c r="BK670" t="s">
        <v>98</v>
      </c>
      <c r="BL670" t="s">
        <v>147</v>
      </c>
      <c r="BM670" t="s">
        <v>10383</v>
      </c>
      <c r="BN670" t="s">
        <v>74</v>
      </c>
      <c r="BO670" t="s">
        <v>74</v>
      </c>
      <c r="BP670" t="s">
        <v>74</v>
      </c>
      <c r="BQ670" t="s">
        <v>74</v>
      </c>
      <c r="BR670" t="s">
        <v>101</v>
      </c>
      <c r="BS670" t="s">
        <v>10415</v>
      </c>
      <c r="BT670" t="str">
        <f>HYPERLINK("https%3A%2F%2Fwww.webofscience.com%2Fwos%2Fwoscc%2Ffull-record%2FWOS:000233324600004","View Full Record in Web of Science")</f>
        <v>View Full Record in Web of Science</v>
      </c>
    </row>
    <row r="671" spans="1:72" x14ac:dyDescent="0.15">
      <c r="A671" t="s">
        <v>72</v>
      </c>
      <c r="B671" t="s">
        <v>9121</v>
      </c>
      <c r="C671" t="s">
        <v>74</v>
      </c>
      <c r="D671" t="s">
        <v>74</v>
      </c>
      <c r="E671" t="s">
        <v>74</v>
      </c>
      <c r="F671" t="s">
        <v>9121</v>
      </c>
      <c r="G671" t="s">
        <v>74</v>
      </c>
      <c r="H671" t="s">
        <v>74</v>
      </c>
      <c r="I671" t="s">
        <v>10416</v>
      </c>
      <c r="J671" t="s">
        <v>3975</v>
      </c>
      <c r="K671" t="s">
        <v>74</v>
      </c>
      <c r="L671" t="s">
        <v>74</v>
      </c>
      <c r="M671" t="s">
        <v>77</v>
      </c>
      <c r="N671" t="s">
        <v>289</v>
      </c>
      <c r="O671" t="s">
        <v>74</v>
      </c>
      <c r="P671" t="s">
        <v>74</v>
      </c>
      <c r="Q671" t="s">
        <v>74</v>
      </c>
      <c r="R671" t="s">
        <v>74</v>
      </c>
      <c r="S671" t="s">
        <v>74</v>
      </c>
      <c r="T671" t="s">
        <v>74</v>
      </c>
      <c r="U671" t="s">
        <v>10417</v>
      </c>
      <c r="V671" t="s">
        <v>10418</v>
      </c>
      <c r="W671" t="s">
        <v>9125</v>
      </c>
      <c r="X671" t="s">
        <v>74</v>
      </c>
      <c r="Y671" t="s">
        <v>9126</v>
      </c>
      <c r="Z671" t="s">
        <v>9127</v>
      </c>
      <c r="AA671" t="s">
        <v>74</v>
      </c>
      <c r="AB671" t="s">
        <v>74</v>
      </c>
      <c r="AC671" t="s">
        <v>74</v>
      </c>
      <c r="AD671" t="s">
        <v>74</v>
      </c>
      <c r="AE671" t="s">
        <v>74</v>
      </c>
      <c r="AF671" t="s">
        <v>74</v>
      </c>
      <c r="AG671">
        <v>387</v>
      </c>
      <c r="AH671">
        <v>125</v>
      </c>
      <c r="AI671">
        <v>137</v>
      </c>
      <c r="AJ671">
        <v>2</v>
      </c>
      <c r="AK671">
        <v>87</v>
      </c>
      <c r="AL671" t="s">
        <v>88</v>
      </c>
      <c r="AM671" t="s">
        <v>89</v>
      </c>
      <c r="AN671" t="s">
        <v>90</v>
      </c>
      <c r="AO671" t="s">
        <v>3985</v>
      </c>
      <c r="AP671" t="s">
        <v>3986</v>
      </c>
      <c r="AQ671" t="s">
        <v>74</v>
      </c>
      <c r="AR671" t="s">
        <v>3987</v>
      </c>
      <c r="AS671" t="s">
        <v>3988</v>
      </c>
      <c r="AT671" t="s">
        <v>9746</v>
      </c>
      <c r="AU671">
        <v>2005</v>
      </c>
      <c r="AV671">
        <v>28</v>
      </c>
      <c r="AW671">
        <v>11</v>
      </c>
      <c r="AX671" t="s">
        <v>74</v>
      </c>
      <c r="AY671" t="s">
        <v>74</v>
      </c>
      <c r="AZ671" t="s">
        <v>74</v>
      </c>
      <c r="BA671" t="s">
        <v>74</v>
      </c>
      <c r="BB671">
        <v>862</v>
      </c>
      <c r="BC671">
        <v>895</v>
      </c>
      <c r="BD671" t="s">
        <v>74</v>
      </c>
      <c r="BE671" t="s">
        <v>10419</v>
      </c>
      <c r="BF671" t="str">
        <f>HYPERLINK("http://dx.doi.org/10.1007/s00300-005-0019-z","http://dx.doi.org/10.1007/s00300-005-0019-z")</f>
        <v>http://dx.doi.org/10.1007/s00300-005-0019-z</v>
      </c>
      <c r="BG671" t="s">
        <v>74</v>
      </c>
      <c r="BH671" t="s">
        <v>74</v>
      </c>
      <c r="BI671">
        <v>34</v>
      </c>
      <c r="BJ671" t="s">
        <v>3990</v>
      </c>
      <c r="BK671" t="s">
        <v>98</v>
      </c>
      <c r="BL671" t="s">
        <v>147</v>
      </c>
      <c r="BM671" t="s">
        <v>10383</v>
      </c>
      <c r="BN671" t="s">
        <v>74</v>
      </c>
      <c r="BO671" t="s">
        <v>74</v>
      </c>
      <c r="BP671" t="s">
        <v>74</v>
      </c>
      <c r="BQ671" t="s">
        <v>74</v>
      </c>
      <c r="BR671" t="s">
        <v>101</v>
      </c>
      <c r="BS671" t="s">
        <v>10420</v>
      </c>
      <c r="BT671" t="str">
        <f>HYPERLINK("https%3A%2F%2Fwww.webofscience.com%2Fwos%2Fwoscc%2Ffull-record%2FWOS:000233324600007","View Full Record in Web of Science")</f>
        <v>View Full Record in Web of Science</v>
      </c>
    </row>
    <row r="672" spans="1:72" x14ac:dyDescent="0.15">
      <c r="A672" t="s">
        <v>72</v>
      </c>
      <c r="B672" t="s">
        <v>10421</v>
      </c>
      <c r="C672" t="s">
        <v>74</v>
      </c>
      <c r="D672" t="s">
        <v>74</v>
      </c>
      <c r="E672" t="s">
        <v>74</v>
      </c>
      <c r="F672" t="s">
        <v>10421</v>
      </c>
      <c r="G672" t="s">
        <v>74</v>
      </c>
      <c r="H672" t="s">
        <v>74</v>
      </c>
      <c r="I672" t="s">
        <v>10422</v>
      </c>
      <c r="J672" t="s">
        <v>4381</v>
      </c>
      <c r="K672" t="s">
        <v>74</v>
      </c>
      <c r="L672" t="s">
        <v>74</v>
      </c>
      <c r="M672" t="s">
        <v>77</v>
      </c>
      <c r="N672" t="s">
        <v>78</v>
      </c>
      <c r="O672" t="s">
        <v>74</v>
      </c>
      <c r="P672" t="s">
        <v>74</v>
      </c>
      <c r="Q672" t="s">
        <v>74</v>
      </c>
      <c r="R672" t="s">
        <v>74</v>
      </c>
      <c r="S672" t="s">
        <v>74</v>
      </c>
      <c r="T672" t="s">
        <v>10423</v>
      </c>
      <c r="U672" t="s">
        <v>10424</v>
      </c>
      <c r="V672" t="s">
        <v>10425</v>
      </c>
      <c r="W672" t="s">
        <v>10426</v>
      </c>
      <c r="X672" t="s">
        <v>10427</v>
      </c>
      <c r="Y672" t="s">
        <v>10428</v>
      </c>
      <c r="Z672" t="s">
        <v>10429</v>
      </c>
      <c r="AA672" t="s">
        <v>74</v>
      </c>
      <c r="AB672" t="s">
        <v>74</v>
      </c>
      <c r="AC672" t="s">
        <v>74</v>
      </c>
      <c r="AD672" t="s">
        <v>74</v>
      </c>
      <c r="AE672" t="s">
        <v>74</v>
      </c>
      <c r="AF672" t="s">
        <v>74</v>
      </c>
      <c r="AG672">
        <v>23</v>
      </c>
      <c r="AH672">
        <v>31</v>
      </c>
      <c r="AI672">
        <v>34</v>
      </c>
      <c r="AJ672">
        <v>0</v>
      </c>
      <c r="AK672">
        <v>4</v>
      </c>
      <c r="AL672" t="s">
        <v>2025</v>
      </c>
      <c r="AM672" t="s">
        <v>2026</v>
      </c>
      <c r="AN672" t="s">
        <v>2027</v>
      </c>
      <c r="AO672" t="s">
        <v>4391</v>
      </c>
      <c r="AP672" t="s">
        <v>4392</v>
      </c>
      <c r="AQ672" t="s">
        <v>74</v>
      </c>
      <c r="AR672" t="s">
        <v>4393</v>
      </c>
      <c r="AS672" t="s">
        <v>4394</v>
      </c>
      <c r="AT672" t="s">
        <v>9746</v>
      </c>
      <c r="AU672">
        <v>2005</v>
      </c>
      <c r="AV672">
        <v>131</v>
      </c>
      <c r="AW672">
        <v>611</v>
      </c>
      <c r="AX672" t="s">
        <v>10430</v>
      </c>
      <c r="AY672" t="s">
        <v>74</v>
      </c>
      <c r="AZ672" t="s">
        <v>74</v>
      </c>
      <c r="BA672" t="s">
        <v>74</v>
      </c>
      <c r="BB672">
        <v>2609</v>
      </c>
      <c r="BC672">
        <v>2616</v>
      </c>
      <c r="BD672" t="s">
        <v>74</v>
      </c>
      <c r="BE672" t="s">
        <v>10431</v>
      </c>
      <c r="BF672" t="str">
        <f>HYPERLINK("http://dx.doi.org/10.1256/qj.04.137","http://dx.doi.org/10.1256/qj.04.137")</f>
        <v>http://dx.doi.org/10.1256/qj.04.137</v>
      </c>
      <c r="BG672" t="s">
        <v>74</v>
      </c>
      <c r="BH672" t="s">
        <v>74</v>
      </c>
      <c r="BI672">
        <v>8</v>
      </c>
      <c r="BJ672" t="s">
        <v>2033</v>
      </c>
      <c r="BK672" t="s">
        <v>98</v>
      </c>
      <c r="BL672" t="s">
        <v>2033</v>
      </c>
      <c r="BM672" t="s">
        <v>10432</v>
      </c>
      <c r="BN672" t="s">
        <v>74</v>
      </c>
      <c r="BO672" t="s">
        <v>74</v>
      </c>
      <c r="BP672" t="s">
        <v>74</v>
      </c>
      <c r="BQ672" t="s">
        <v>74</v>
      </c>
      <c r="BR672" t="s">
        <v>101</v>
      </c>
      <c r="BS672" t="s">
        <v>10433</v>
      </c>
      <c r="BT672" t="str">
        <f>HYPERLINK("https%3A%2F%2Fwww.webofscience.com%2Fwos%2Fwoscc%2Ffull-record%2FWOS:000233475900002","View Full Record in Web of Science")</f>
        <v>View Full Record in Web of Science</v>
      </c>
    </row>
    <row r="673" spans="1:72" x14ac:dyDescent="0.15">
      <c r="A673" t="s">
        <v>72</v>
      </c>
      <c r="B673" t="s">
        <v>10434</v>
      </c>
      <c r="C673" t="s">
        <v>74</v>
      </c>
      <c r="D673" t="s">
        <v>74</v>
      </c>
      <c r="E673" t="s">
        <v>74</v>
      </c>
      <c r="F673" t="s">
        <v>10434</v>
      </c>
      <c r="G673" t="s">
        <v>74</v>
      </c>
      <c r="H673" t="s">
        <v>74</v>
      </c>
      <c r="I673" t="s">
        <v>10435</v>
      </c>
      <c r="J673" t="s">
        <v>10436</v>
      </c>
      <c r="K673" t="s">
        <v>74</v>
      </c>
      <c r="L673" t="s">
        <v>74</v>
      </c>
      <c r="M673" t="s">
        <v>77</v>
      </c>
      <c r="N673" t="s">
        <v>78</v>
      </c>
      <c r="O673" t="s">
        <v>74</v>
      </c>
      <c r="P673" t="s">
        <v>74</v>
      </c>
      <c r="Q673" t="s">
        <v>74</v>
      </c>
      <c r="R673" t="s">
        <v>74</v>
      </c>
      <c r="S673" t="s">
        <v>74</v>
      </c>
      <c r="T673" t="s">
        <v>10437</v>
      </c>
      <c r="U673" t="s">
        <v>10438</v>
      </c>
      <c r="V673" t="s">
        <v>10439</v>
      </c>
      <c r="W673" t="s">
        <v>10440</v>
      </c>
      <c r="X673" t="s">
        <v>10441</v>
      </c>
      <c r="Y673" t="s">
        <v>10442</v>
      </c>
      <c r="Z673" t="s">
        <v>10443</v>
      </c>
      <c r="AA673" t="s">
        <v>74</v>
      </c>
      <c r="AB673" t="s">
        <v>10444</v>
      </c>
      <c r="AC673" t="s">
        <v>74</v>
      </c>
      <c r="AD673" t="s">
        <v>74</v>
      </c>
      <c r="AE673" t="s">
        <v>74</v>
      </c>
      <c r="AF673" t="s">
        <v>74</v>
      </c>
      <c r="AG673">
        <v>37</v>
      </c>
      <c r="AH673">
        <v>1</v>
      </c>
      <c r="AI673">
        <v>1</v>
      </c>
      <c r="AJ673">
        <v>0</v>
      </c>
      <c r="AK673">
        <v>2</v>
      </c>
      <c r="AL673" t="s">
        <v>88</v>
      </c>
      <c r="AM673" t="s">
        <v>89</v>
      </c>
      <c r="AN673" t="s">
        <v>90</v>
      </c>
      <c r="AO673" t="s">
        <v>10445</v>
      </c>
      <c r="AP673" t="s">
        <v>10446</v>
      </c>
      <c r="AQ673" t="s">
        <v>74</v>
      </c>
      <c r="AR673" t="s">
        <v>10447</v>
      </c>
      <c r="AS673" t="s">
        <v>10448</v>
      </c>
      <c r="AT673" t="s">
        <v>9746</v>
      </c>
      <c r="AU673">
        <v>2005</v>
      </c>
      <c r="AV673">
        <v>49</v>
      </c>
      <c r="AW673">
        <v>4</v>
      </c>
      <c r="AX673" t="s">
        <v>74</v>
      </c>
      <c r="AY673" t="s">
        <v>74</v>
      </c>
      <c r="AZ673" t="s">
        <v>74</v>
      </c>
      <c r="BA673" t="s">
        <v>74</v>
      </c>
      <c r="BB673">
        <v>573</v>
      </c>
      <c r="BC673">
        <v>596</v>
      </c>
      <c r="BD673" t="s">
        <v>74</v>
      </c>
      <c r="BE673" t="s">
        <v>10449</v>
      </c>
      <c r="BF673" t="str">
        <f>HYPERLINK("http://dx.doi.org/10.1007/s11200-005-0028-y","http://dx.doi.org/10.1007/s11200-005-0028-y")</f>
        <v>http://dx.doi.org/10.1007/s11200-005-0028-y</v>
      </c>
      <c r="BG673" t="s">
        <v>74</v>
      </c>
      <c r="BH673" t="s">
        <v>74</v>
      </c>
      <c r="BI673">
        <v>24</v>
      </c>
      <c r="BJ673" t="s">
        <v>1348</v>
      </c>
      <c r="BK673" t="s">
        <v>98</v>
      </c>
      <c r="BL673" t="s">
        <v>1348</v>
      </c>
      <c r="BM673" t="s">
        <v>10450</v>
      </c>
      <c r="BN673" t="s">
        <v>74</v>
      </c>
      <c r="BO673" t="s">
        <v>74</v>
      </c>
      <c r="BP673" t="s">
        <v>74</v>
      </c>
      <c r="BQ673" t="s">
        <v>74</v>
      </c>
      <c r="BR673" t="s">
        <v>101</v>
      </c>
      <c r="BS673" t="s">
        <v>10451</v>
      </c>
      <c r="BT673" t="str">
        <f>HYPERLINK("https%3A%2F%2Fwww.webofscience.com%2Fwos%2Fwoscc%2Ffull-record%2FWOS:000232531400008","View Full Record in Web of Science")</f>
        <v>View Full Record in Web of Science</v>
      </c>
    </row>
    <row r="674" spans="1:72" x14ac:dyDescent="0.15">
      <c r="A674" t="s">
        <v>72</v>
      </c>
      <c r="B674" t="s">
        <v>10452</v>
      </c>
      <c r="C674" t="s">
        <v>74</v>
      </c>
      <c r="D674" t="s">
        <v>74</v>
      </c>
      <c r="E674" t="s">
        <v>74</v>
      </c>
      <c r="F674" t="s">
        <v>10452</v>
      </c>
      <c r="G674" t="s">
        <v>74</v>
      </c>
      <c r="H674" t="s">
        <v>74</v>
      </c>
      <c r="I674" t="s">
        <v>10453</v>
      </c>
      <c r="J674" t="s">
        <v>10454</v>
      </c>
      <c r="K674" t="s">
        <v>74</v>
      </c>
      <c r="L674" t="s">
        <v>74</v>
      </c>
      <c r="M674" t="s">
        <v>77</v>
      </c>
      <c r="N674" t="s">
        <v>2361</v>
      </c>
      <c r="O674" t="s">
        <v>74</v>
      </c>
      <c r="P674" t="s">
        <v>74</v>
      </c>
      <c r="Q674" t="s">
        <v>74</v>
      </c>
      <c r="R674" t="s">
        <v>74</v>
      </c>
      <c r="S674" t="s">
        <v>74</v>
      </c>
      <c r="T674" t="s">
        <v>74</v>
      </c>
      <c r="U674" t="s">
        <v>74</v>
      </c>
      <c r="V674" t="s">
        <v>74</v>
      </c>
      <c r="W674" t="s">
        <v>74</v>
      </c>
      <c r="X674" t="s">
        <v>74</v>
      </c>
      <c r="Y674" t="s">
        <v>10455</v>
      </c>
      <c r="Z674" t="s">
        <v>74</v>
      </c>
      <c r="AA674" t="s">
        <v>74</v>
      </c>
      <c r="AB674" t="s">
        <v>74</v>
      </c>
      <c r="AC674" t="s">
        <v>74</v>
      </c>
      <c r="AD674" t="s">
        <v>74</v>
      </c>
      <c r="AE674" t="s">
        <v>74</v>
      </c>
      <c r="AF674" t="s">
        <v>74</v>
      </c>
      <c r="AG674">
        <v>0</v>
      </c>
      <c r="AH674">
        <v>0</v>
      </c>
      <c r="AI674">
        <v>0</v>
      </c>
      <c r="AJ674">
        <v>0</v>
      </c>
      <c r="AK674">
        <v>0</v>
      </c>
      <c r="AL674" t="s">
        <v>348</v>
      </c>
      <c r="AM674" t="s">
        <v>349</v>
      </c>
      <c r="AN674" t="s">
        <v>1523</v>
      </c>
      <c r="AO674" t="s">
        <v>10456</v>
      </c>
      <c r="AP674" t="s">
        <v>10457</v>
      </c>
      <c r="AQ674" t="s">
        <v>74</v>
      </c>
      <c r="AR674" t="s">
        <v>10458</v>
      </c>
      <c r="AS674" t="s">
        <v>10459</v>
      </c>
      <c r="AT674" t="s">
        <v>9746</v>
      </c>
      <c r="AU674">
        <v>2005</v>
      </c>
      <c r="AV674">
        <v>38</v>
      </c>
      <c r="AW674">
        <v>298</v>
      </c>
      <c r="AX674" t="s">
        <v>74</v>
      </c>
      <c r="AY674" t="s">
        <v>74</v>
      </c>
      <c r="AZ674" t="s">
        <v>74</v>
      </c>
      <c r="BA674" t="s">
        <v>74</v>
      </c>
      <c r="BB674">
        <v>346</v>
      </c>
      <c r="BC674">
        <v>346</v>
      </c>
      <c r="BD674" t="s">
        <v>74</v>
      </c>
      <c r="BE674" t="s">
        <v>74</v>
      </c>
      <c r="BF674" t="s">
        <v>74</v>
      </c>
      <c r="BG674" t="s">
        <v>74</v>
      </c>
      <c r="BH674" t="s">
        <v>74</v>
      </c>
      <c r="BI674">
        <v>1</v>
      </c>
      <c r="BJ674" t="s">
        <v>10460</v>
      </c>
      <c r="BK674" t="s">
        <v>98</v>
      </c>
      <c r="BL674" t="s">
        <v>10461</v>
      </c>
      <c r="BM674" t="s">
        <v>10462</v>
      </c>
      <c r="BN674" t="s">
        <v>74</v>
      </c>
      <c r="BO674" t="s">
        <v>74</v>
      </c>
      <c r="BP674" t="s">
        <v>74</v>
      </c>
      <c r="BQ674" t="s">
        <v>74</v>
      </c>
      <c r="BR674" t="s">
        <v>101</v>
      </c>
      <c r="BS674" t="s">
        <v>10463</v>
      </c>
      <c r="BT674" t="str">
        <f>HYPERLINK("https%3A%2F%2Fwww.webofscience.com%2Fwos%2Fwoscc%2Ffull-record%2FWOS:000232121200008","View Full Record in Web of Science")</f>
        <v>View Full Record in Web of Science</v>
      </c>
    </row>
    <row r="675" spans="1:72" x14ac:dyDescent="0.15">
      <c r="A675" t="s">
        <v>72</v>
      </c>
      <c r="B675" t="s">
        <v>10464</v>
      </c>
      <c r="C675" t="s">
        <v>74</v>
      </c>
      <c r="D675" t="s">
        <v>74</v>
      </c>
      <c r="E675" t="s">
        <v>74</v>
      </c>
      <c r="F675" t="s">
        <v>10464</v>
      </c>
      <c r="G675" t="s">
        <v>74</v>
      </c>
      <c r="H675" t="s">
        <v>74</v>
      </c>
      <c r="I675" t="s">
        <v>10465</v>
      </c>
      <c r="J675" t="s">
        <v>10466</v>
      </c>
      <c r="K675" t="s">
        <v>74</v>
      </c>
      <c r="L675" t="s">
        <v>74</v>
      </c>
      <c r="M675" t="s">
        <v>77</v>
      </c>
      <c r="N675" t="s">
        <v>5777</v>
      </c>
      <c r="O675" t="s">
        <v>74</v>
      </c>
      <c r="P675" t="s">
        <v>74</v>
      </c>
      <c r="Q675" t="s">
        <v>74</v>
      </c>
      <c r="R675" t="s">
        <v>74</v>
      </c>
      <c r="S675" t="s">
        <v>74</v>
      </c>
      <c r="T675" t="s">
        <v>74</v>
      </c>
      <c r="U675" t="s">
        <v>10467</v>
      </c>
      <c r="V675" t="s">
        <v>10468</v>
      </c>
      <c r="W675" t="s">
        <v>10469</v>
      </c>
      <c r="X675" t="s">
        <v>10470</v>
      </c>
      <c r="Y675" t="s">
        <v>10471</v>
      </c>
      <c r="Z675" t="s">
        <v>3981</v>
      </c>
      <c r="AA675" t="s">
        <v>74</v>
      </c>
      <c r="AB675" t="s">
        <v>10472</v>
      </c>
      <c r="AC675" t="s">
        <v>10473</v>
      </c>
      <c r="AD675" t="s">
        <v>1015</v>
      </c>
      <c r="AE675" t="s">
        <v>74</v>
      </c>
      <c r="AF675" t="s">
        <v>74</v>
      </c>
      <c r="AG675">
        <v>66</v>
      </c>
      <c r="AH675">
        <v>214</v>
      </c>
      <c r="AI675">
        <v>228</v>
      </c>
      <c r="AJ675">
        <v>0</v>
      </c>
      <c r="AK675">
        <v>31</v>
      </c>
      <c r="AL675" t="s">
        <v>10474</v>
      </c>
      <c r="AM675" t="s">
        <v>1055</v>
      </c>
      <c r="AN675" t="s">
        <v>10475</v>
      </c>
      <c r="AO675" t="s">
        <v>10476</v>
      </c>
      <c r="AP675" t="s">
        <v>10477</v>
      </c>
      <c r="AQ675" t="s">
        <v>74</v>
      </c>
      <c r="AR675" t="s">
        <v>10478</v>
      </c>
      <c r="AS675" t="s">
        <v>10479</v>
      </c>
      <c r="AT675" t="s">
        <v>9746</v>
      </c>
      <c r="AU675">
        <v>2005</v>
      </c>
      <c r="AV675">
        <v>20</v>
      </c>
      <c r="AW675">
        <v>10</v>
      </c>
      <c r="AX675" t="s">
        <v>74</v>
      </c>
      <c r="AY675" t="s">
        <v>74</v>
      </c>
      <c r="AZ675" t="s">
        <v>74</v>
      </c>
      <c r="BA675" t="s">
        <v>74</v>
      </c>
      <c r="BB675">
        <v>534</v>
      </c>
      <c r="BC675">
        <v>540</v>
      </c>
      <c r="BD675" t="s">
        <v>74</v>
      </c>
      <c r="BE675" t="s">
        <v>10480</v>
      </c>
      <c r="BF675" t="str">
        <f>HYPERLINK("http://dx.doi.org/10.1016/j.tree.2005.07.010","http://dx.doi.org/10.1016/j.tree.2005.07.010")</f>
        <v>http://dx.doi.org/10.1016/j.tree.2005.07.010</v>
      </c>
      <c r="BG675" t="s">
        <v>74</v>
      </c>
      <c r="BH675" t="s">
        <v>74</v>
      </c>
      <c r="BI675">
        <v>7</v>
      </c>
      <c r="BJ675" t="s">
        <v>10481</v>
      </c>
      <c r="BK675" t="s">
        <v>98</v>
      </c>
      <c r="BL675" t="s">
        <v>10482</v>
      </c>
      <c r="BM675" t="s">
        <v>10483</v>
      </c>
      <c r="BN675">
        <v>16701431</v>
      </c>
      <c r="BO675" t="s">
        <v>4083</v>
      </c>
      <c r="BP675" t="s">
        <v>74</v>
      </c>
      <c r="BQ675" t="s">
        <v>74</v>
      </c>
      <c r="BR675" t="s">
        <v>101</v>
      </c>
      <c r="BS675" t="s">
        <v>10484</v>
      </c>
      <c r="BT675" t="str">
        <f>HYPERLINK("https%3A%2F%2Fwww.webofscience.com%2Fwos%2Fwoscc%2Ffull-record%2FWOS:000232606900004","View Full Record in Web of Science")</f>
        <v>View Full Record in Web of Science</v>
      </c>
    </row>
    <row r="676" spans="1:72" x14ac:dyDescent="0.15">
      <c r="A676" t="s">
        <v>72</v>
      </c>
      <c r="B676" t="s">
        <v>10485</v>
      </c>
      <c r="C676" t="s">
        <v>74</v>
      </c>
      <c r="D676" t="s">
        <v>74</v>
      </c>
      <c r="E676" t="s">
        <v>74</v>
      </c>
      <c r="F676" t="s">
        <v>10485</v>
      </c>
      <c r="G676" t="s">
        <v>74</v>
      </c>
      <c r="H676" t="s">
        <v>74</v>
      </c>
      <c r="I676" t="s">
        <v>10486</v>
      </c>
      <c r="J676" t="s">
        <v>10487</v>
      </c>
      <c r="K676" t="s">
        <v>74</v>
      </c>
      <c r="L676" t="s">
        <v>74</v>
      </c>
      <c r="M676" t="s">
        <v>77</v>
      </c>
      <c r="N676" t="s">
        <v>78</v>
      </c>
      <c r="O676" t="s">
        <v>74</v>
      </c>
      <c r="P676" t="s">
        <v>74</v>
      </c>
      <c r="Q676" t="s">
        <v>74</v>
      </c>
      <c r="R676" t="s">
        <v>74</v>
      </c>
      <c r="S676" t="s">
        <v>74</v>
      </c>
      <c r="T676" t="s">
        <v>10488</v>
      </c>
      <c r="U676" t="s">
        <v>10489</v>
      </c>
      <c r="V676" t="s">
        <v>10490</v>
      </c>
      <c r="W676" t="s">
        <v>10491</v>
      </c>
      <c r="X676" t="s">
        <v>10492</v>
      </c>
      <c r="Y676" t="s">
        <v>10493</v>
      </c>
      <c r="Z676" t="s">
        <v>10494</v>
      </c>
      <c r="AA676" t="s">
        <v>10495</v>
      </c>
      <c r="AB676" t="s">
        <v>10496</v>
      </c>
      <c r="AC676" t="s">
        <v>74</v>
      </c>
      <c r="AD676" t="s">
        <v>74</v>
      </c>
      <c r="AE676" t="s">
        <v>74</v>
      </c>
      <c r="AF676" t="s">
        <v>74</v>
      </c>
      <c r="AG676">
        <v>25</v>
      </c>
      <c r="AH676">
        <v>43</v>
      </c>
      <c r="AI676">
        <v>54</v>
      </c>
      <c r="AJ676">
        <v>1</v>
      </c>
      <c r="AK676">
        <v>14</v>
      </c>
      <c r="AL676" t="s">
        <v>88</v>
      </c>
      <c r="AM676" t="s">
        <v>162</v>
      </c>
      <c r="AN676" t="s">
        <v>163</v>
      </c>
      <c r="AO676" t="s">
        <v>10497</v>
      </c>
      <c r="AP676" t="s">
        <v>10498</v>
      </c>
      <c r="AQ676" t="s">
        <v>74</v>
      </c>
      <c r="AR676" t="s">
        <v>10499</v>
      </c>
      <c r="AS676" t="s">
        <v>10500</v>
      </c>
      <c r="AT676" t="s">
        <v>9746</v>
      </c>
      <c r="AU676">
        <v>2005</v>
      </c>
      <c r="AV676">
        <v>21</v>
      </c>
      <c r="AW676" t="s">
        <v>10501</v>
      </c>
      <c r="AX676" t="s">
        <v>74</v>
      </c>
      <c r="AY676" t="s">
        <v>74</v>
      </c>
      <c r="AZ676" t="s">
        <v>74</v>
      </c>
      <c r="BA676" t="s">
        <v>74</v>
      </c>
      <c r="BB676">
        <v>831</v>
      </c>
      <c r="BC676">
        <v>834</v>
      </c>
      <c r="BD676" t="s">
        <v>74</v>
      </c>
      <c r="BE676" t="s">
        <v>10502</v>
      </c>
      <c r="BF676" t="str">
        <f>HYPERLINK("http://dx.doi.org/10.1007/s11274-004-2241-1","http://dx.doi.org/10.1007/s11274-004-2241-1")</f>
        <v>http://dx.doi.org/10.1007/s11274-004-2241-1</v>
      </c>
      <c r="BG676" t="s">
        <v>74</v>
      </c>
      <c r="BH676" t="s">
        <v>74</v>
      </c>
      <c r="BI676">
        <v>4</v>
      </c>
      <c r="BJ676" t="s">
        <v>169</v>
      </c>
      <c r="BK676" t="s">
        <v>98</v>
      </c>
      <c r="BL676" t="s">
        <v>169</v>
      </c>
      <c r="BM676" t="s">
        <v>10503</v>
      </c>
      <c r="BN676" t="s">
        <v>74</v>
      </c>
      <c r="BO676" t="s">
        <v>74</v>
      </c>
      <c r="BP676" t="s">
        <v>74</v>
      </c>
      <c r="BQ676" t="s">
        <v>74</v>
      </c>
      <c r="BR676" t="s">
        <v>101</v>
      </c>
      <c r="BS676" t="s">
        <v>10504</v>
      </c>
      <c r="BT676" t="str">
        <f>HYPERLINK("https%3A%2F%2Fwww.webofscience.com%2Fwos%2Fwoscc%2Ffull-record%2FWOS:000233385500007","View Full Record in Web of Science")</f>
        <v>View Full Record in Web of Science</v>
      </c>
    </row>
    <row r="677" spans="1:72" x14ac:dyDescent="0.15">
      <c r="A677" t="s">
        <v>72</v>
      </c>
      <c r="B677" t="s">
        <v>10505</v>
      </c>
      <c r="C677" t="s">
        <v>74</v>
      </c>
      <c r="D677" t="s">
        <v>74</v>
      </c>
      <c r="E677" t="s">
        <v>74</v>
      </c>
      <c r="F677" t="s">
        <v>10505</v>
      </c>
      <c r="G677" t="s">
        <v>74</v>
      </c>
      <c r="H677" t="s">
        <v>74</v>
      </c>
      <c r="I677" t="s">
        <v>10506</v>
      </c>
      <c r="J677" t="s">
        <v>5134</v>
      </c>
      <c r="K677" t="s">
        <v>74</v>
      </c>
      <c r="L677" t="s">
        <v>74</v>
      </c>
      <c r="M677" t="s">
        <v>77</v>
      </c>
      <c r="N677" t="s">
        <v>78</v>
      </c>
      <c r="O677" t="s">
        <v>74</v>
      </c>
      <c r="P677" t="s">
        <v>74</v>
      </c>
      <c r="Q677" t="s">
        <v>74</v>
      </c>
      <c r="R677" t="s">
        <v>74</v>
      </c>
      <c r="S677" t="s">
        <v>74</v>
      </c>
      <c r="T677" t="s">
        <v>74</v>
      </c>
      <c r="U677" t="s">
        <v>10507</v>
      </c>
      <c r="V677" t="s">
        <v>10508</v>
      </c>
      <c r="W677" t="s">
        <v>10509</v>
      </c>
      <c r="X677" t="s">
        <v>10510</v>
      </c>
      <c r="Y677" t="s">
        <v>10511</v>
      </c>
      <c r="Z677" t="s">
        <v>10512</v>
      </c>
      <c r="AA677" t="s">
        <v>10513</v>
      </c>
      <c r="AB677" t="s">
        <v>74</v>
      </c>
      <c r="AC677" t="s">
        <v>74</v>
      </c>
      <c r="AD677" t="s">
        <v>74</v>
      </c>
      <c r="AE677" t="s">
        <v>74</v>
      </c>
      <c r="AF677" t="s">
        <v>74</v>
      </c>
      <c r="AG677">
        <v>14</v>
      </c>
      <c r="AH677">
        <v>41</v>
      </c>
      <c r="AI677">
        <v>43</v>
      </c>
      <c r="AJ677">
        <v>2</v>
      </c>
      <c r="AK677">
        <v>5</v>
      </c>
      <c r="AL677" t="s">
        <v>4487</v>
      </c>
      <c r="AM677" t="s">
        <v>2541</v>
      </c>
      <c r="AN677" t="s">
        <v>4488</v>
      </c>
      <c r="AO677" t="s">
        <v>5142</v>
      </c>
      <c r="AP677" t="s">
        <v>5143</v>
      </c>
      <c r="AQ677" t="s">
        <v>74</v>
      </c>
      <c r="AR677" t="s">
        <v>5144</v>
      </c>
      <c r="AS677" t="s">
        <v>5145</v>
      </c>
      <c r="AT677" t="s">
        <v>10514</v>
      </c>
      <c r="AU677">
        <v>2005</v>
      </c>
      <c r="AV677">
        <v>32</v>
      </c>
      <c r="AW677">
        <v>22</v>
      </c>
      <c r="AX677" t="s">
        <v>74</v>
      </c>
      <c r="AY677" t="s">
        <v>74</v>
      </c>
      <c r="AZ677" t="s">
        <v>74</v>
      </c>
      <c r="BA677" t="s">
        <v>74</v>
      </c>
      <c r="BB677" t="s">
        <v>74</v>
      </c>
      <c r="BC677" t="s">
        <v>74</v>
      </c>
      <c r="BD677" t="s">
        <v>10515</v>
      </c>
      <c r="BE677" t="s">
        <v>10516</v>
      </c>
      <c r="BF677" t="str">
        <f>HYPERLINK("http://dx.doi.org/10.1029/2005GL023782","http://dx.doi.org/10.1029/2005GL023782")</f>
        <v>http://dx.doi.org/10.1029/2005GL023782</v>
      </c>
      <c r="BG677" t="s">
        <v>74</v>
      </c>
      <c r="BH677" t="s">
        <v>74</v>
      </c>
      <c r="BI677">
        <v>4</v>
      </c>
      <c r="BJ677" t="s">
        <v>1129</v>
      </c>
      <c r="BK677" t="s">
        <v>98</v>
      </c>
      <c r="BL677" t="s">
        <v>1130</v>
      </c>
      <c r="BM677" t="s">
        <v>10517</v>
      </c>
      <c r="BN677" t="s">
        <v>74</v>
      </c>
      <c r="BO677" t="s">
        <v>2276</v>
      </c>
      <c r="BP677" t="s">
        <v>74</v>
      </c>
      <c r="BQ677" t="s">
        <v>74</v>
      </c>
      <c r="BR677" t="s">
        <v>101</v>
      </c>
      <c r="BS677" t="s">
        <v>10518</v>
      </c>
      <c r="BT677" t="str">
        <f>HYPERLINK("https%3A%2F%2Fwww.webofscience.com%2Fwos%2Fwoscc%2Ffull-record%2FWOS:000232396000002","View Full Record in Web of Science")</f>
        <v>View Full Record in Web of Science</v>
      </c>
    </row>
    <row r="678" spans="1:72" x14ac:dyDescent="0.15">
      <c r="A678" t="s">
        <v>72</v>
      </c>
      <c r="B678" t="s">
        <v>10519</v>
      </c>
      <c r="C678" t="s">
        <v>74</v>
      </c>
      <c r="D678" t="s">
        <v>74</v>
      </c>
      <c r="E678" t="s">
        <v>74</v>
      </c>
      <c r="F678" t="s">
        <v>10519</v>
      </c>
      <c r="G678" t="s">
        <v>74</v>
      </c>
      <c r="H678" t="s">
        <v>74</v>
      </c>
      <c r="I678" t="s">
        <v>10520</v>
      </c>
      <c r="J678" t="s">
        <v>7721</v>
      </c>
      <c r="K678" t="s">
        <v>74</v>
      </c>
      <c r="L678" t="s">
        <v>74</v>
      </c>
      <c r="M678" t="s">
        <v>77</v>
      </c>
      <c r="N678" t="s">
        <v>78</v>
      </c>
      <c r="O678" t="s">
        <v>74</v>
      </c>
      <c r="P678" t="s">
        <v>74</v>
      </c>
      <c r="Q678" t="s">
        <v>74</v>
      </c>
      <c r="R678" t="s">
        <v>74</v>
      </c>
      <c r="S678" t="s">
        <v>74</v>
      </c>
      <c r="T678" t="s">
        <v>74</v>
      </c>
      <c r="U678" t="s">
        <v>10521</v>
      </c>
      <c r="V678" t="s">
        <v>10522</v>
      </c>
      <c r="W678" t="s">
        <v>10523</v>
      </c>
      <c r="X678" t="s">
        <v>10524</v>
      </c>
      <c r="Y678" t="s">
        <v>5088</v>
      </c>
      <c r="Z678" t="s">
        <v>10525</v>
      </c>
      <c r="AA678" t="s">
        <v>10526</v>
      </c>
      <c r="AB678" t="s">
        <v>10527</v>
      </c>
      <c r="AC678" t="s">
        <v>74</v>
      </c>
      <c r="AD678" t="s">
        <v>74</v>
      </c>
      <c r="AE678" t="s">
        <v>74</v>
      </c>
      <c r="AF678" t="s">
        <v>74</v>
      </c>
      <c r="AG678">
        <v>43</v>
      </c>
      <c r="AH678">
        <v>109</v>
      </c>
      <c r="AI678">
        <v>118</v>
      </c>
      <c r="AJ678">
        <v>0</v>
      </c>
      <c r="AK678">
        <v>13</v>
      </c>
      <c r="AL678" t="s">
        <v>4487</v>
      </c>
      <c r="AM678" t="s">
        <v>2541</v>
      </c>
      <c r="AN678" t="s">
        <v>4488</v>
      </c>
      <c r="AO678" t="s">
        <v>7728</v>
      </c>
      <c r="AP678" t="s">
        <v>7729</v>
      </c>
      <c r="AQ678" t="s">
        <v>74</v>
      </c>
      <c r="AR678" t="s">
        <v>7730</v>
      </c>
      <c r="AS678" t="s">
        <v>7731</v>
      </c>
      <c r="AT678" t="s">
        <v>10514</v>
      </c>
      <c r="AU678">
        <v>2005</v>
      </c>
      <c r="AV678">
        <v>110</v>
      </c>
      <c r="AW678" t="s">
        <v>10528</v>
      </c>
      <c r="AX678" t="s">
        <v>74</v>
      </c>
      <c r="AY678" t="s">
        <v>74</v>
      </c>
      <c r="AZ678" t="s">
        <v>74</v>
      </c>
      <c r="BA678" t="s">
        <v>74</v>
      </c>
      <c r="BB678" t="s">
        <v>74</v>
      </c>
      <c r="BC678" t="s">
        <v>74</v>
      </c>
      <c r="BD678" t="s">
        <v>10529</v>
      </c>
      <c r="BE678" t="s">
        <v>10530</v>
      </c>
      <c r="BF678" t="str">
        <f>HYPERLINK("http://dx.doi.org/10.1029/2005JA011050","http://dx.doi.org/10.1029/2005JA011050")</f>
        <v>http://dx.doi.org/10.1029/2005JA011050</v>
      </c>
      <c r="BG678" t="s">
        <v>74</v>
      </c>
      <c r="BH678" t="s">
        <v>74</v>
      </c>
      <c r="BI678">
        <v>12</v>
      </c>
      <c r="BJ678" t="s">
        <v>4376</v>
      </c>
      <c r="BK678" t="s">
        <v>98</v>
      </c>
      <c r="BL678" t="s">
        <v>4376</v>
      </c>
      <c r="BM678" t="s">
        <v>10531</v>
      </c>
      <c r="BN678" t="s">
        <v>74</v>
      </c>
      <c r="BO678" t="s">
        <v>2276</v>
      </c>
      <c r="BP678" t="s">
        <v>74</v>
      </c>
      <c r="BQ678" t="s">
        <v>74</v>
      </c>
      <c r="BR678" t="s">
        <v>101</v>
      </c>
      <c r="BS678" t="s">
        <v>10532</v>
      </c>
      <c r="BT678" t="str">
        <f>HYPERLINK("https%3A%2F%2Fwww.webofscience.com%2Fwos%2Fwoscc%2Ffull-record%2FWOS:000232512600008","View Full Record in Web of Science")</f>
        <v>View Full Record in Web of Science</v>
      </c>
    </row>
    <row r="679" spans="1:72" x14ac:dyDescent="0.15">
      <c r="A679" t="s">
        <v>72</v>
      </c>
      <c r="B679" t="s">
        <v>10533</v>
      </c>
      <c r="C679" t="s">
        <v>74</v>
      </c>
      <c r="D679" t="s">
        <v>74</v>
      </c>
      <c r="E679" t="s">
        <v>74</v>
      </c>
      <c r="F679" t="s">
        <v>10533</v>
      </c>
      <c r="G679" t="s">
        <v>74</v>
      </c>
      <c r="H679" t="s">
        <v>74</v>
      </c>
      <c r="I679" t="s">
        <v>10534</v>
      </c>
      <c r="J679" t="s">
        <v>7407</v>
      </c>
      <c r="K679" t="s">
        <v>74</v>
      </c>
      <c r="L679" t="s">
        <v>74</v>
      </c>
      <c r="M679" t="s">
        <v>77</v>
      </c>
      <c r="N679" t="s">
        <v>78</v>
      </c>
      <c r="O679" t="s">
        <v>74</v>
      </c>
      <c r="P679" t="s">
        <v>74</v>
      </c>
      <c r="Q679" t="s">
        <v>74</v>
      </c>
      <c r="R679" t="s">
        <v>74</v>
      </c>
      <c r="S679" t="s">
        <v>74</v>
      </c>
      <c r="T679" t="s">
        <v>74</v>
      </c>
      <c r="U679" t="s">
        <v>10535</v>
      </c>
      <c r="V679" t="s">
        <v>10536</v>
      </c>
      <c r="W679" t="s">
        <v>10537</v>
      </c>
      <c r="X679" t="s">
        <v>10538</v>
      </c>
      <c r="Y679" t="s">
        <v>10539</v>
      </c>
      <c r="Z679" t="s">
        <v>10540</v>
      </c>
      <c r="AA679" t="s">
        <v>10541</v>
      </c>
      <c r="AB679" t="s">
        <v>10542</v>
      </c>
      <c r="AC679" t="s">
        <v>74</v>
      </c>
      <c r="AD679" t="s">
        <v>74</v>
      </c>
      <c r="AE679" t="s">
        <v>74</v>
      </c>
      <c r="AF679" t="s">
        <v>74</v>
      </c>
      <c r="AG679">
        <v>22</v>
      </c>
      <c r="AH679">
        <v>127</v>
      </c>
      <c r="AI679">
        <v>134</v>
      </c>
      <c r="AJ679">
        <v>0</v>
      </c>
      <c r="AK679">
        <v>11</v>
      </c>
      <c r="AL679" t="s">
        <v>431</v>
      </c>
      <c r="AM679" t="s">
        <v>432</v>
      </c>
      <c r="AN679" t="s">
        <v>433</v>
      </c>
      <c r="AO679" t="s">
        <v>7416</v>
      </c>
      <c r="AP679" t="s">
        <v>7417</v>
      </c>
      <c r="AQ679" t="s">
        <v>74</v>
      </c>
      <c r="AR679" t="s">
        <v>7418</v>
      </c>
      <c r="AS679" t="s">
        <v>7419</v>
      </c>
      <c r="AT679" t="s">
        <v>10543</v>
      </c>
      <c r="AU679">
        <v>2005</v>
      </c>
      <c r="AV679">
        <v>5</v>
      </c>
      <c r="AW679" t="s">
        <v>74</v>
      </c>
      <c r="AX679" t="s">
        <v>74</v>
      </c>
      <c r="AY679" t="s">
        <v>74</v>
      </c>
      <c r="AZ679" t="s">
        <v>74</v>
      </c>
      <c r="BA679" t="s">
        <v>74</v>
      </c>
      <c r="BB679">
        <v>2603</v>
      </c>
      <c r="BC679">
        <v>2615</v>
      </c>
      <c r="BD679" t="s">
        <v>74</v>
      </c>
      <c r="BE679" t="s">
        <v>10544</v>
      </c>
      <c r="BF679" t="str">
        <f>HYPERLINK("http://dx.doi.org/10.5194/acp-5-2603-2005","http://dx.doi.org/10.5194/acp-5-2603-2005")</f>
        <v>http://dx.doi.org/10.5194/acp-5-2603-2005</v>
      </c>
      <c r="BG679" t="s">
        <v>74</v>
      </c>
      <c r="BH679" t="s">
        <v>74</v>
      </c>
      <c r="BI679">
        <v>13</v>
      </c>
      <c r="BJ679" t="s">
        <v>6080</v>
      </c>
      <c r="BK679" t="s">
        <v>98</v>
      </c>
      <c r="BL679" t="s">
        <v>6081</v>
      </c>
      <c r="BM679" t="s">
        <v>10545</v>
      </c>
      <c r="BN679" t="s">
        <v>74</v>
      </c>
      <c r="BO679" t="s">
        <v>6969</v>
      </c>
      <c r="BP679" t="s">
        <v>74</v>
      </c>
      <c r="BQ679" t="s">
        <v>74</v>
      </c>
      <c r="BR679" t="s">
        <v>101</v>
      </c>
      <c r="BS679" t="s">
        <v>10546</v>
      </c>
      <c r="BT679" t="str">
        <f>HYPERLINK("https%3A%2F%2Fwww.webofscience.com%2Fwos%2Fwoscc%2Ffull-record%2FWOS:000232205200002","View Full Record in Web of Science")</f>
        <v>View Full Record in Web of Science</v>
      </c>
    </row>
    <row r="680" spans="1:72" x14ac:dyDescent="0.15">
      <c r="A680" t="s">
        <v>72</v>
      </c>
      <c r="B680" t="s">
        <v>10547</v>
      </c>
      <c r="C680" t="s">
        <v>74</v>
      </c>
      <c r="D680" t="s">
        <v>74</v>
      </c>
      <c r="E680" t="s">
        <v>74</v>
      </c>
      <c r="F680" t="s">
        <v>10547</v>
      </c>
      <c r="G680" t="s">
        <v>74</v>
      </c>
      <c r="H680" t="s">
        <v>74</v>
      </c>
      <c r="I680" t="s">
        <v>10548</v>
      </c>
      <c r="J680" t="s">
        <v>5063</v>
      </c>
      <c r="K680" t="s">
        <v>74</v>
      </c>
      <c r="L680" t="s">
        <v>74</v>
      </c>
      <c r="M680" t="s">
        <v>77</v>
      </c>
      <c r="N680" t="s">
        <v>78</v>
      </c>
      <c r="O680" t="s">
        <v>74</v>
      </c>
      <c r="P680" t="s">
        <v>74</v>
      </c>
      <c r="Q680" t="s">
        <v>74</v>
      </c>
      <c r="R680" t="s">
        <v>74</v>
      </c>
      <c r="S680" t="s">
        <v>74</v>
      </c>
      <c r="T680" t="s">
        <v>74</v>
      </c>
      <c r="U680" t="s">
        <v>10549</v>
      </c>
      <c r="V680" t="s">
        <v>10550</v>
      </c>
      <c r="W680" t="s">
        <v>10551</v>
      </c>
      <c r="X680" t="s">
        <v>1783</v>
      </c>
      <c r="Y680" t="s">
        <v>10552</v>
      </c>
      <c r="Z680" t="s">
        <v>10553</v>
      </c>
      <c r="AA680" t="s">
        <v>10554</v>
      </c>
      <c r="AB680" t="s">
        <v>10555</v>
      </c>
      <c r="AC680" t="s">
        <v>74</v>
      </c>
      <c r="AD680" t="s">
        <v>74</v>
      </c>
      <c r="AE680" t="s">
        <v>74</v>
      </c>
      <c r="AF680" t="s">
        <v>74</v>
      </c>
      <c r="AG680">
        <v>72</v>
      </c>
      <c r="AH680">
        <v>15</v>
      </c>
      <c r="AI680">
        <v>15</v>
      </c>
      <c r="AJ680">
        <v>1</v>
      </c>
      <c r="AK680">
        <v>13</v>
      </c>
      <c r="AL680" t="s">
        <v>4487</v>
      </c>
      <c r="AM680" t="s">
        <v>2541</v>
      </c>
      <c r="AN680" t="s">
        <v>4488</v>
      </c>
      <c r="AO680" t="s">
        <v>5072</v>
      </c>
      <c r="AP680" t="s">
        <v>5073</v>
      </c>
      <c r="AQ680" t="s">
        <v>74</v>
      </c>
      <c r="AR680" t="s">
        <v>5074</v>
      </c>
      <c r="AS680" t="s">
        <v>5075</v>
      </c>
      <c r="AT680" t="s">
        <v>10543</v>
      </c>
      <c r="AU680">
        <v>2005</v>
      </c>
      <c r="AV680">
        <v>110</v>
      </c>
      <c r="AW680" t="s">
        <v>10556</v>
      </c>
      <c r="AX680" t="s">
        <v>74</v>
      </c>
      <c r="AY680" t="s">
        <v>74</v>
      </c>
      <c r="AZ680" t="s">
        <v>74</v>
      </c>
      <c r="BA680" t="s">
        <v>74</v>
      </c>
      <c r="BB680" t="s">
        <v>74</v>
      </c>
      <c r="BC680" t="s">
        <v>74</v>
      </c>
      <c r="BD680" t="s">
        <v>10557</v>
      </c>
      <c r="BE680" t="s">
        <v>10558</v>
      </c>
      <c r="BF680" t="str">
        <f>HYPERLINK("http://dx.doi.org/10.1029/2005JD005769","http://dx.doi.org/10.1029/2005JD005769")</f>
        <v>http://dx.doi.org/10.1029/2005JD005769</v>
      </c>
      <c r="BG680" t="s">
        <v>74</v>
      </c>
      <c r="BH680" t="s">
        <v>74</v>
      </c>
      <c r="BI680">
        <v>15</v>
      </c>
      <c r="BJ680" t="s">
        <v>2033</v>
      </c>
      <c r="BK680" t="s">
        <v>98</v>
      </c>
      <c r="BL680" t="s">
        <v>2033</v>
      </c>
      <c r="BM680" t="s">
        <v>10559</v>
      </c>
      <c r="BN680" t="s">
        <v>74</v>
      </c>
      <c r="BO680" t="s">
        <v>74</v>
      </c>
      <c r="BP680" t="s">
        <v>74</v>
      </c>
      <c r="BQ680" t="s">
        <v>74</v>
      </c>
      <c r="BR680" t="s">
        <v>101</v>
      </c>
      <c r="BS680" t="s">
        <v>10560</v>
      </c>
      <c r="BT680" t="str">
        <f>HYPERLINK("https%3A%2F%2Fwww.webofscience.com%2Fwos%2Fwoscc%2Ffull-record%2FWOS:000232396900001","View Full Record in Web of Science")</f>
        <v>View Full Record in Web of Science</v>
      </c>
    </row>
    <row r="681" spans="1:72" x14ac:dyDescent="0.15">
      <c r="A681" t="s">
        <v>72</v>
      </c>
      <c r="B681" t="s">
        <v>10561</v>
      </c>
      <c r="C681" t="s">
        <v>74</v>
      </c>
      <c r="D681" t="s">
        <v>74</v>
      </c>
      <c r="E681" t="s">
        <v>74</v>
      </c>
      <c r="F681" t="s">
        <v>10561</v>
      </c>
      <c r="G681" t="s">
        <v>74</v>
      </c>
      <c r="H681" t="s">
        <v>74</v>
      </c>
      <c r="I681" t="s">
        <v>10562</v>
      </c>
      <c r="J681" t="s">
        <v>6667</v>
      </c>
      <c r="K681" t="s">
        <v>74</v>
      </c>
      <c r="L681" t="s">
        <v>74</v>
      </c>
      <c r="M681" t="s">
        <v>77</v>
      </c>
      <c r="N681" t="s">
        <v>78</v>
      </c>
      <c r="O681" t="s">
        <v>74</v>
      </c>
      <c r="P681" t="s">
        <v>74</v>
      </c>
      <c r="Q681" t="s">
        <v>74</v>
      </c>
      <c r="R681" t="s">
        <v>74</v>
      </c>
      <c r="S681" t="s">
        <v>74</v>
      </c>
      <c r="T681" t="s">
        <v>74</v>
      </c>
      <c r="U681" t="s">
        <v>10563</v>
      </c>
      <c r="V681" t="s">
        <v>10564</v>
      </c>
      <c r="W681" t="s">
        <v>10565</v>
      </c>
      <c r="X681" t="s">
        <v>10566</v>
      </c>
      <c r="Y681" t="s">
        <v>10567</v>
      </c>
      <c r="Z681" t="s">
        <v>10568</v>
      </c>
      <c r="AA681" t="s">
        <v>10569</v>
      </c>
      <c r="AB681" t="s">
        <v>10570</v>
      </c>
      <c r="AC681" t="s">
        <v>74</v>
      </c>
      <c r="AD681" t="s">
        <v>74</v>
      </c>
      <c r="AE681" t="s">
        <v>74</v>
      </c>
      <c r="AF681" t="s">
        <v>74</v>
      </c>
      <c r="AG681">
        <v>49</v>
      </c>
      <c r="AH681">
        <v>3199</v>
      </c>
      <c r="AI681">
        <v>3713</v>
      </c>
      <c r="AJ681">
        <v>76</v>
      </c>
      <c r="AK681">
        <v>3248</v>
      </c>
      <c r="AL681" t="s">
        <v>6669</v>
      </c>
      <c r="AM681" t="s">
        <v>1055</v>
      </c>
      <c r="AN681" t="s">
        <v>6670</v>
      </c>
      <c r="AO681" t="s">
        <v>6671</v>
      </c>
      <c r="AP681" t="s">
        <v>74</v>
      </c>
      <c r="AQ681" t="s">
        <v>74</v>
      </c>
      <c r="AR681" t="s">
        <v>6667</v>
      </c>
      <c r="AS681" t="s">
        <v>6673</v>
      </c>
      <c r="AT681" t="s">
        <v>10543</v>
      </c>
      <c r="AU681">
        <v>2005</v>
      </c>
      <c r="AV681">
        <v>437</v>
      </c>
      <c r="AW681">
        <v>7059</v>
      </c>
      <c r="AX681" t="s">
        <v>74</v>
      </c>
      <c r="AY681" t="s">
        <v>74</v>
      </c>
      <c r="AZ681" t="s">
        <v>74</v>
      </c>
      <c r="BA681" t="s">
        <v>74</v>
      </c>
      <c r="BB681">
        <v>681</v>
      </c>
      <c r="BC681">
        <v>686</v>
      </c>
      <c r="BD681" t="s">
        <v>74</v>
      </c>
      <c r="BE681" t="s">
        <v>10571</v>
      </c>
      <c r="BF681" t="str">
        <f>HYPERLINK("http://dx.doi.org/10.1038/nature04095","http://dx.doi.org/10.1038/nature04095")</f>
        <v>http://dx.doi.org/10.1038/nature04095</v>
      </c>
      <c r="BG681" t="s">
        <v>74</v>
      </c>
      <c r="BH681" t="s">
        <v>74</v>
      </c>
      <c r="BI681">
        <v>6</v>
      </c>
      <c r="BJ681" t="s">
        <v>3495</v>
      </c>
      <c r="BK681" t="s">
        <v>98</v>
      </c>
      <c r="BL681" t="s">
        <v>3496</v>
      </c>
      <c r="BM681" t="s">
        <v>10572</v>
      </c>
      <c r="BN681">
        <v>16193043</v>
      </c>
      <c r="BO681" t="s">
        <v>1925</v>
      </c>
      <c r="BP681" t="s">
        <v>74</v>
      </c>
      <c r="BQ681" t="s">
        <v>74</v>
      </c>
      <c r="BR681" t="s">
        <v>101</v>
      </c>
      <c r="BS681" t="s">
        <v>10573</v>
      </c>
      <c r="BT681" t="str">
        <f>HYPERLINK("https%3A%2F%2Fwww.webofscience.com%2Fwos%2Fwoscc%2Ffull-record%2FWOS:000232157900042","View Full Record in Web of Science")</f>
        <v>View Full Record in Web of Science</v>
      </c>
    </row>
    <row r="682" spans="1:72" x14ac:dyDescent="0.15">
      <c r="A682" t="s">
        <v>72</v>
      </c>
      <c r="B682" t="s">
        <v>10574</v>
      </c>
      <c r="C682" t="s">
        <v>74</v>
      </c>
      <c r="D682" t="s">
        <v>74</v>
      </c>
      <c r="E682" t="s">
        <v>74</v>
      </c>
      <c r="F682" t="s">
        <v>10574</v>
      </c>
      <c r="G682" t="s">
        <v>74</v>
      </c>
      <c r="H682" t="s">
        <v>74</v>
      </c>
      <c r="I682" t="s">
        <v>10575</v>
      </c>
      <c r="J682" t="s">
        <v>10576</v>
      </c>
      <c r="K682" t="s">
        <v>74</v>
      </c>
      <c r="L682" t="s">
        <v>74</v>
      </c>
      <c r="M682" t="s">
        <v>77</v>
      </c>
      <c r="N682" t="s">
        <v>78</v>
      </c>
      <c r="O682" t="s">
        <v>74</v>
      </c>
      <c r="P682" t="s">
        <v>74</v>
      </c>
      <c r="Q682" t="s">
        <v>74</v>
      </c>
      <c r="R682" t="s">
        <v>74</v>
      </c>
      <c r="S682" t="s">
        <v>74</v>
      </c>
      <c r="T682" t="s">
        <v>10577</v>
      </c>
      <c r="U682" t="s">
        <v>10578</v>
      </c>
      <c r="V682" t="s">
        <v>10579</v>
      </c>
      <c r="W682" t="s">
        <v>10580</v>
      </c>
      <c r="X682" t="s">
        <v>10581</v>
      </c>
      <c r="Y682" t="s">
        <v>111</v>
      </c>
      <c r="Z682" t="s">
        <v>10582</v>
      </c>
      <c r="AA682" t="s">
        <v>113</v>
      </c>
      <c r="AB682" t="s">
        <v>114</v>
      </c>
      <c r="AC682" t="s">
        <v>74</v>
      </c>
      <c r="AD682" t="s">
        <v>74</v>
      </c>
      <c r="AE682" t="s">
        <v>74</v>
      </c>
      <c r="AF682" t="s">
        <v>74</v>
      </c>
      <c r="AG682">
        <v>21</v>
      </c>
      <c r="AH682">
        <v>6</v>
      </c>
      <c r="AI682">
        <v>6</v>
      </c>
      <c r="AJ682">
        <v>0</v>
      </c>
      <c r="AK682">
        <v>4</v>
      </c>
      <c r="AL682" t="s">
        <v>1147</v>
      </c>
      <c r="AM682" t="s">
        <v>1148</v>
      </c>
      <c r="AN682" t="s">
        <v>1149</v>
      </c>
      <c r="AO682" t="s">
        <v>10583</v>
      </c>
      <c r="AP682" t="s">
        <v>10584</v>
      </c>
      <c r="AQ682" t="s">
        <v>74</v>
      </c>
      <c r="AR682" t="s">
        <v>10585</v>
      </c>
      <c r="AS682" t="s">
        <v>10586</v>
      </c>
      <c r="AT682" t="s">
        <v>10587</v>
      </c>
      <c r="AU682">
        <v>2005</v>
      </c>
      <c r="AV682">
        <v>36</v>
      </c>
      <c r="AW682">
        <v>5</v>
      </c>
      <c r="AX682" t="s">
        <v>74</v>
      </c>
      <c r="AY682" t="s">
        <v>74</v>
      </c>
      <c r="AZ682" t="s">
        <v>74</v>
      </c>
      <c r="BA682" t="s">
        <v>74</v>
      </c>
      <c r="BB682">
        <v>327</v>
      </c>
      <c r="BC682">
        <v>330</v>
      </c>
      <c r="BD682" t="s">
        <v>74</v>
      </c>
      <c r="BE682" t="s">
        <v>10588</v>
      </c>
      <c r="BF682" t="str">
        <f>HYPERLINK("http://dx.doi.org/10.1016/j.ijbiomac.2005.06.012","http://dx.doi.org/10.1016/j.ijbiomac.2005.06.012")</f>
        <v>http://dx.doi.org/10.1016/j.ijbiomac.2005.06.012</v>
      </c>
      <c r="BG682" t="s">
        <v>74</v>
      </c>
      <c r="BH682" t="s">
        <v>74</v>
      </c>
      <c r="BI682">
        <v>4</v>
      </c>
      <c r="BJ682" t="s">
        <v>10589</v>
      </c>
      <c r="BK682" t="s">
        <v>98</v>
      </c>
      <c r="BL682" t="s">
        <v>10590</v>
      </c>
      <c r="BM682" t="s">
        <v>10591</v>
      </c>
      <c r="BN682">
        <v>16095682</v>
      </c>
      <c r="BO682" t="s">
        <v>74</v>
      </c>
      <c r="BP682" t="s">
        <v>74</v>
      </c>
      <c r="BQ682" t="s">
        <v>74</v>
      </c>
      <c r="BR682" t="s">
        <v>101</v>
      </c>
      <c r="BS682" t="s">
        <v>10592</v>
      </c>
      <c r="BT682" t="str">
        <f>HYPERLINK("https%3A%2F%2Fwww.webofscience.com%2Fwos%2Fwoscc%2Ffull-record%2FWOS:000232009500009","View Full Record in Web of Science")</f>
        <v>View Full Record in Web of Science</v>
      </c>
    </row>
    <row r="683" spans="1:72" x14ac:dyDescent="0.15">
      <c r="A683" t="s">
        <v>72</v>
      </c>
      <c r="B683" t="s">
        <v>10593</v>
      </c>
      <c r="C683" t="s">
        <v>74</v>
      </c>
      <c r="D683" t="s">
        <v>74</v>
      </c>
      <c r="E683" t="s">
        <v>74</v>
      </c>
      <c r="F683" t="s">
        <v>10593</v>
      </c>
      <c r="G683" t="s">
        <v>74</v>
      </c>
      <c r="H683" t="s">
        <v>74</v>
      </c>
      <c r="I683" t="s">
        <v>10594</v>
      </c>
      <c r="J683" t="s">
        <v>5063</v>
      </c>
      <c r="K683" t="s">
        <v>74</v>
      </c>
      <c r="L683" t="s">
        <v>74</v>
      </c>
      <c r="M683" t="s">
        <v>77</v>
      </c>
      <c r="N683" t="s">
        <v>78</v>
      </c>
      <c r="O683" t="s">
        <v>74</v>
      </c>
      <c r="P683" t="s">
        <v>74</v>
      </c>
      <c r="Q683" t="s">
        <v>74</v>
      </c>
      <c r="R683" t="s">
        <v>74</v>
      </c>
      <c r="S683" t="s">
        <v>74</v>
      </c>
      <c r="T683" t="s">
        <v>74</v>
      </c>
      <c r="U683" t="s">
        <v>10595</v>
      </c>
      <c r="V683" t="s">
        <v>10596</v>
      </c>
      <c r="W683" t="s">
        <v>10597</v>
      </c>
      <c r="X683" t="s">
        <v>10598</v>
      </c>
      <c r="Y683" t="s">
        <v>10599</v>
      </c>
      <c r="Z683" t="s">
        <v>10600</v>
      </c>
      <c r="AA683" t="s">
        <v>10601</v>
      </c>
      <c r="AB683" t="s">
        <v>10602</v>
      </c>
      <c r="AC683" t="s">
        <v>74</v>
      </c>
      <c r="AD683" t="s">
        <v>74</v>
      </c>
      <c r="AE683" t="s">
        <v>74</v>
      </c>
      <c r="AF683" t="s">
        <v>74</v>
      </c>
      <c r="AG683">
        <v>43</v>
      </c>
      <c r="AH683">
        <v>15</v>
      </c>
      <c r="AI683">
        <v>16</v>
      </c>
      <c r="AJ683">
        <v>2</v>
      </c>
      <c r="AK683">
        <v>12</v>
      </c>
      <c r="AL683" t="s">
        <v>4487</v>
      </c>
      <c r="AM683" t="s">
        <v>2541</v>
      </c>
      <c r="AN683" t="s">
        <v>4488</v>
      </c>
      <c r="AO683" t="s">
        <v>5072</v>
      </c>
      <c r="AP683" t="s">
        <v>74</v>
      </c>
      <c r="AQ683" t="s">
        <v>74</v>
      </c>
      <c r="AR683" t="s">
        <v>5074</v>
      </c>
      <c r="AS683" t="s">
        <v>5075</v>
      </c>
      <c r="AT683" t="s">
        <v>10587</v>
      </c>
      <c r="AU683">
        <v>2005</v>
      </c>
      <c r="AV683">
        <v>110</v>
      </c>
      <c r="AW683" t="s">
        <v>10556</v>
      </c>
      <c r="AX683" t="s">
        <v>74</v>
      </c>
      <c r="AY683" t="s">
        <v>74</v>
      </c>
      <c r="AZ683" t="s">
        <v>74</v>
      </c>
      <c r="BA683" t="s">
        <v>74</v>
      </c>
      <c r="BB683" t="s">
        <v>74</v>
      </c>
      <c r="BC683" t="s">
        <v>74</v>
      </c>
      <c r="BD683" t="s">
        <v>10603</v>
      </c>
      <c r="BE683" t="s">
        <v>10604</v>
      </c>
      <c r="BF683" t="str">
        <f>HYPERLINK("http://dx.doi.org/10.1029/2005JD005900","http://dx.doi.org/10.1029/2005JD005900")</f>
        <v>http://dx.doi.org/10.1029/2005JD005900</v>
      </c>
      <c r="BG683" t="s">
        <v>74</v>
      </c>
      <c r="BH683" t="s">
        <v>74</v>
      </c>
      <c r="BI683">
        <v>10</v>
      </c>
      <c r="BJ683" t="s">
        <v>2033</v>
      </c>
      <c r="BK683" t="s">
        <v>98</v>
      </c>
      <c r="BL683" t="s">
        <v>2033</v>
      </c>
      <c r="BM683" t="s">
        <v>10605</v>
      </c>
      <c r="BN683" t="s">
        <v>74</v>
      </c>
      <c r="BO683" t="s">
        <v>74</v>
      </c>
      <c r="BP683" t="s">
        <v>74</v>
      </c>
      <c r="BQ683" t="s">
        <v>74</v>
      </c>
      <c r="BR683" t="s">
        <v>101</v>
      </c>
      <c r="BS683" t="s">
        <v>10606</v>
      </c>
      <c r="BT683" t="str">
        <f>HYPERLINK("https%3A%2F%2Fwww.webofscience.com%2Fwos%2Fwoscc%2Ffull-record%2FWOS:000232396700005","View Full Record in Web of Science")</f>
        <v>View Full Record in Web of Science</v>
      </c>
    </row>
    <row r="684" spans="1:72" x14ac:dyDescent="0.15">
      <c r="A684" t="s">
        <v>72</v>
      </c>
      <c r="B684" t="s">
        <v>10607</v>
      </c>
      <c r="C684" t="s">
        <v>74</v>
      </c>
      <c r="D684" t="s">
        <v>74</v>
      </c>
      <c r="E684" t="s">
        <v>74</v>
      </c>
      <c r="F684" t="s">
        <v>10607</v>
      </c>
      <c r="G684" t="s">
        <v>74</v>
      </c>
      <c r="H684" t="s">
        <v>74</v>
      </c>
      <c r="I684" t="s">
        <v>10608</v>
      </c>
      <c r="J684" t="s">
        <v>10609</v>
      </c>
      <c r="K684" t="s">
        <v>74</v>
      </c>
      <c r="L684" t="s">
        <v>74</v>
      </c>
      <c r="M684" t="s">
        <v>77</v>
      </c>
      <c r="N684" t="s">
        <v>78</v>
      </c>
      <c r="O684" t="s">
        <v>74</v>
      </c>
      <c r="P684" t="s">
        <v>74</v>
      </c>
      <c r="Q684" t="s">
        <v>74</v>
      </c>
      <c r="R684" t="s">
        <v>74</v>
      </c>
      <c r="S684" t="s">
        <v>74</v>
      </c>
      <c r="T684" t="s">
        <v>10610</v>
      </c>
      <c r="U684" t="s">
        <v>10611</v>
      </c>
      <c r="V684" t="s">
        <v>10612</v>
      </c>
      <c r="W684" t="s">
        <v>10613</v>
      </c>
      <c r="X684" t="s">
        <v>10614</v>
      </c>
      <c r="Y684" t="s">
        <v>10615</v>
      </c>
      <c r="Z684" t="s">
        <v>10616</v>
      </c>
      <c r="AA684" t="s">
        <v>74</v>
      </c>
      <c r="AB684" t="s">
        <v>10617</v>
      </c>
      <c r="AC684" t="s">
        <v>74</v>
      </c>
      <c r="AD684" t="s">
        <v>74</v>
      </c>
      <c r="AE684" t="s">
        <v>74</v>
      </c>
      <c r="AF684" t="s">
        <v>74</v>
      </c>
      <c r="AG684">
        <v>28</v>
      </c>
      <c r="AH684">
        <v>35</v>
      </c>
      <c r="AI684">
        <v>40</v>
      </c>
      <c r="AJ684">
        <v>0</v>
      </c>
      <c r="AK684">
        <v>19</v>
      </c>
      <c r="AL684" t="s">
        <v>1147</v>
      </c>
      <c r="AM684" t="s">
        <v>1148</v>
      </c>
      <c r="AN684" t="s">
        <v>1149</v>
      </c>
      <c r="AO684" t="s">
        <v>10618</v>
      </c>
      <c r="AP684" t="s">
        <v>10619</v>
      </c>
      <c r="AQ684" t="s">
        <v>74</v>
      </c>
      <c r="AR684" t="s">
        <v>10620</v>
      </c>
      <c r="AS684" t="s">
        <v>10621</v>
      </c>
      <c r="AT684" t="s">
        <v>10622</v>
      </c>
      <c r="AU684">
        <v>2005</v>
      </c>
      <c r="AV684">
        <v>217</v>
      </c>
      <c r="AW684">
        <v>1</v>
      </c>
      <c r="AX684" t="s">
        <v>74</v>
      </c>
      <c r="AY684" t="s">
        <v>74</v>
      </c>
      <c r="AZ684" t="s">
        <v>74</v>
      </c>
      <c r="BA684" t="s">
        <v>74</v>
      </c>
      <c r="BB684">
        <v>80</v>
      </c>
      <c r="BC684">
        <v>94</v>
      </c>
      <c r="BD684" t="s">
        <v>74</v>
      </c>
      <c r="BE684" t="s">
        <v>10623</v>
      </c>
      <c r="BF684" t="str">
        <f>HYPERLINK("http://dx.doi.org/10.1016/j.foreco.2005.05.051","http://dx.doi.org/10.1016/j.foreco.2005.05.051")</f>
        <v>http://dx.doi.org/10.1016/j.foreco.2005.05.051</v>
      </c>
      <c r="BG684" t="s">
        <v>74</v>
      </c>
      <c r="BH684" t="s">
        <v>74</v>
      </c>
      <c r="BI684">
        <v>15</v>
      </c>
      <c r="BJ684" t="s">
        <v>10624</v>
      </c>
      <c r="BK684" t="s">
        <v>98</v>
      </c>
      <c r="BL684" t="s">
        <v>10624</v>
      </c>
      <c r="BM684" t="s">
        <v>10625</v>
      </c>
      <c r="BN684" t="s">
        <v>74</v>
      </c>
      <c r="BO684" t="s">
        <v>74</v>
      </c>
      <c r="BP684" t="s">
        <v>74</v>
      </c>
      <c r="BQ684" t="s">
        <v>74</v>
      </c>
      <c r="BR684" t="s">
        <v>101</v>
      </c>
      <c r="BS684" t="s">
        <v>10626</v>
      </c>
      <c r="BT684" t="str">
        <f>HYPERLINK("https%3A%2F%2Fwww.webofscience.com%2Fwos%2Fwoscc%2Ffull-record%2FWOS:000232614000006","View Full Record in Web of Science")</f>
        <v>View Full Record in Web of Science</v>
      </c>
    </row>
    <row r="685" spans="1:72" x14ac:dyDescent="0.15">
      <c r="A685" t="s">
        <v>72</v>
      </c>
      <c r="B685" t="s">
        <v>10627</v>
      </c>
      <c r="C685" t="s">
        <v>74</v>
      </c>
      <c r="D685" t="s">
        <v>74</v>
      </c>
      <c r="E685" t="s">
        <v>74</v>
      </c>
      <c r="F685" t="s">
        <v>10627</v>
      </c>
      <c r="G685" t="s">
        <v>74</v>
      </c>
      <c r="H685" t="s">
        <v>74</v>
      </c>
      <c r="I685" t="s">
        <v>10628</v>
      </c>
      <c r="J685" t="s">
        <v>5251</v>
      </c>
      <c r="K685" t="s">
        <v>74</v>
      </c>
      <c r="L685" t="s">
        <v>74</v>
      </c>
      <c r="M685" t="s">
        <v>77</v>
      </c>
      <c r="N685" t="s">
        <v>78</v>
      </c>
      <c r="O685" t="s">
        <v>74</v>
      </c>
      <c r="P685" t="s">
        <v>74</v>
      </c>
      <c r="Q685" t="s">
        <v>74</v>
      </c>
      <c r="R685" t="s">
        <v>74</v>
      </c>
      <c r="S685" t="s">
        <v>74</v>
      </c>
      <c r="T685" t="s">
        <v>74</v>
      </c>
      <c r="U685" t="s">
        <v>10629</v>
      </c>
      <c r="V685" t="s">
        <v>10630</v>
      </c>
      <c r="W685" t="s">
        <v>10631</v>
      </c>
      <c r="X685" t="s">
        <v>10632</v>
      </c>
      <c r="Y685" t="s">
        <v>10633</v>
      </c>
      <c r="Z685" t="s">
        <v>10634</v>
      </c>
      <c r="AA685" t="s">
        <v>74</v>
      </c>
      <c r="AB685" t="s">
        <v>10635</v>
      </c>
      <c r="AC685" t="s">
        <v>74</v>
      </c>
      <c r="AD685" t="s">
        <v>74</v>
      </c>
      <c r="AE685" t="s">
        <v>74</v>
      </c>
      <c r="AF685" t="s">
        <v>74</v>
      </c>
      <c r="AG685">
        <v>44</v>
      </c>
      <c r="AH685">
        <v>44</v>
      </c>
      <c r="AI685">
        <v>50</v>
      </c>
      <c r="AJ685">
        <v>0</v>
      </c>
      <c r="AK685">
        <v>9</v>
      </c>
      <c r="AL685" t="s">
        <v>4487</v>
      </c>
      <c r="AM685" t="s">
        <v>2541</v>
      </c>
      <c r="AN685" t="s">
        <v>4488</v>
      </c>
      <c r="AO685" t="s">
        <v>5260</v>
      </c>
      <c r="AP685" t="s">
        <v>5261</v>
      </c>
      <c r="AQ685" t="s">
        <v>74</v>
      </c>
      <c r="AR685" t="s">
        <v>5262</v>
      </c>
      <c r="AS685" t="s">
        <v>5263</v>
      </c>
      <c r="AT685" t="s">
        <v>10636</v>
      </c>
      <c r="AU685">
        <v>2005</v>
      </c>
      <c r="AV685">
        <v>110</v>
      </c>
      <c r="AW685" t="s">
        <v>10637</v>
      </c>
      <c r="AX685" t="s">
        <v>74</v>
      </c>
      <c r="AY685" t="s">
        <v>74</v>
      </c>
      <c r="AZ685" t="s">
        <v>74</v>
      </c>
      <c r="BA685" t="s">
        <v>74</v>
      </c>
      <c r="BB685" t="s">
        <v>74</v>
      </c>
      <c r="BC685" t="s">
        <v>74</v>
      </c>
      <c r="BD685" t="s">
        <v>10638</v>
      </c>
      <c r="BE685" t="s">
        <v>10639</v>
      </c>
      <c r="BF685" t="str">
        <f>HYPERLINK("http://dx.doi.org/10.1029/2004JC002773","http://dx.doi.org/10.1029/2004JC002773")</f>
        <v>http://dx.doi.org/10.1029/2004JC002773</v>
      </c>
      <c r="BG685" t="s">
        <v>74</v>
      </c>
      <c r="BH685" t="s">
        <v>74</v>
      </c>
      <c r="BI685">
        <v>20</v>
      </c>
      <c r="BJ685" t="s">
        <v>629</v>
      </c>
      <c r="BK685" t="s">
        <v>98</v>
      </c>
      <c r="BL685" t="s">
        <v>629</v>
      </c>
      <c r="BM685" t="s">
        <v>10640</v>
      </c>
      <c r="BN685" t="s">
        <v>74</v>
      </c>
      <c r="BO685" t="s">
        <v>722</v>
      </c>
      <c r="BP685" t="s">
        <v>74</v>
      </c>
      <c r="BQ685" t="s">
        <v>74</v>
      </c>
      <c r="BR685" t="s">
        <v>101</v>
      </c>
      <c r="BS685" t="s">
        <v>10641</v>
      </c>
      <c r="BT685" t="str">
        <f>HYPERLINK("https%3A%2F%2Fwww.webofscience.com%2Fwos%2Fwoscc%2Ffull-record%2FWOS:000232181100005","View Full Record in Web of Science")</f>
        <v>View Full Record in Web of Science</v>
      </c>
    </row>
    <row r="686" spans="1:72" x14ac:dyDescent="0.15">
      <c r="A686" t="s">
        <v>72</v>
      </c>
      <c r="B686" t="s">
        <v>10642</v>
      </c>
      <c r="C686" t="s">
        <v>74</v>
      </c>
      <c r="D686" t="s">
        <v>74</v>
      </c>
      <c r="E686" t="s">
        <v>74</v>
      </c>
      <c r="F686" t="s">
        <v>10642</v>
      </c>
      <c r="G686" t="s">
        <v>74</v>
      </c>
      <c r="H686" t="s">
        <v>74</v>
      </c>
      <c r="I686" t="s">
        <v>10643</v>
      </c>
      <c r="J686" t="s">
        <v>5153</v>
      </c>
      <c r="K686" t="s">
        <v>74</v>
      </c>
      <c r="L686" t="s">
        <v>74</v>
      </c>
      <c r="M686" t="s">
        <v>77</v>
      </c>
      <c r="N686" t="s">
        <v>78</v>
      </c>
      <c r="O686" t="s">
        <v>74</v>
      </c>
      <c r="P686" t="s">
        <v>74</v>
      </c>
      <c r="Q686" t="s">
        <v>74</v>
      </c>
      <c r="R686" t="s">
        <v>74</v>
      </c>
      <c r="S686" t="s">
        <v>74</v>
      </c>
      <c r="T686" t="s">
        <v>10644</v>
      </c>
      <c r="U686" t="s">
        <v>10645</v>
      </c>
      <c r="V686" t="s">
        <v>10646</v>
      </c>
      <c r="W686" t="s">
        <v>10647</v>
      </c>
      <c r="X686" t="s">
        <v>10648</v>
      </c>
      <c r="Y686" t="s">
        <v>10649</v>
      </c>
      <c r="Z686" t="s">
        <v>2903</v>
      </c>
      <c r="AA686" t="s">
        <v>10650</v>
      </c>
      <c r="AB686" t="s">
        <v>10651</v>
      </c>
      <c r="AC686" t="s">
        <v>74</v>
      </c>
      <c r="AD686" t="s">
        <v>74</v>
      </c>
      <c r="AE686" t="s">
        <v>74</v>
      </c>
      <c r="AF686" t="s">
        <v>74</v>
      </c>
      <c r="AG686">
        <v>16</v>
      </c>
      <c r="AH686">
        <v>113</v>
      </c>
      <c r="AI686">
        <v>128</v>
      </c>
      <c r="AJ686">
        <v>1</v>
      </c>
      <c r="AK686">
        <v>54</v>
      </c>
      <c r="AL686" t="s">
        <v>5163</v>
      </c>
      <c r="AM686" t="s">
        <v>1055</v>
      </c>
      <c r="AN686" t="s">
        <v>5164</v>
      </c>
      <c r="AO686" t="s">
        <v>5165</v>
      </c>
      <c r="AP686" t="s">
        <v>74</v>
      </c>
      <c r="AQ686" t="s">
        <v>74</v>
      </c>
      <c r="AR686" t="s">
        <v>5166</v>
      </c>
      <c r="AS686" t="s">
        <v>5167</v>
      </c>
      <c r="AT686" t="s">
        <v>10652</v>
      </c>
      <c r="AU686">
        <v>2005</v>
      </c>
      <c r="AV686">
        <v>1</v>
      </c>
      <c r="AW686">
        <v>3</v>
      </c>
      <c r="AX686" t="s">
        <v>74</v>
      </c>
      <c r="AY686" t="s">
        <v>74</v>
      </c>
      <c r="AZ686" t="s">
        <v>74</v>
      </c>
      <c r="BA686" t="s">
        <v>74</v>
      </c>
      <c r="BB686">
        <v>303</v>
      </c>
      <c r="BC686">
        <v>305</v>
      </c>
      <c r="BD686" t="s">
        <v>74</v>
      </c>
      <c r="BE686" t="s">
        <v>10653</v>
      </c>
      <c r="BF686" t="str">
        <f>HYPERLINK("http://dx.doi.org/10.1098/rsbl.2005.0350","http://dx.doi.org/10.1098/rsbl.2005.0350")</f>
        <v>http://dx.doi.org/10.1098/rsbl.2005.0350</v>
      </c>
      <c r="BG686" t="s">
        <v>74</v>
      </c>
      <c r="BH686" t="s">
        <v>74</v>
      </c>
      <c r="BI686">
        <v>3</v>
      </c>
      <c r="BJ686" t="s">
        <v>5170</v>
      </c>
      <c r="BK686" t="s">
        <v>98</v>
      </c>
      <c r="BL686" t="s">
        <v>5171</v>
      </c>
      <c r="BM686" t="s">
        <v>10654</v>
      </c>
      <c r="BN686">
        <v>17148193</v>
      </c>
      <c r="BO686" t="s">
        <v>722</v>
      </c>
      <c r="BP686" t="s">
        <v>74</v>
      </c>
      <c r="BQ686" t="s">
        <v>74</v>
      </c>
      <c r="BR686" t="s">
        <v>101</v>
      </c>
      <c r="BS686" t="s">
        <v>10655</v>
      </c>
      <c r="BT686" t="str">
        <f>HYPERLINK("https%3A%2F%2Fwww.webofscience.com%2Fwos%2Fwoscc%2Ffull-record%2FWOS:000232170300014","View Full Record in Web of Science")</f>
        <v>View Full Record in Web of Science</v>
      </c>
    </row>
    <row r="687" spans="1:72" x14ac:dyDescent="0.15">
      <c r="A687" t="s">
        <v>72</v>
      </c>
      <c r="B687" t="s">
        <v>10656</v>
      </c>
      <c r="C687" t="s">
        <v>74</v>
      </c>
      <c r="D687" t="s">
        <v>74</v>
      </c>
      <c r="E687" t="s">
        <v>74</v>
      </c>
      <c r="F687" t="s">
        <v>10656</v>
      </c>
      <c r="G687" t="s">
        <v>74</v>
      </c>
      <c r="H687" t="s">
        <v>74</v>
      </c>
      <c r="I687" t="s">
        <v>10657</v>
      </c>
      <c r="J687" t="s">
        <v>7407</v>
      </c>
      <c r="K687" t="s">
        <v>74</v>
      </c>
      <c r="L687" t="s">
        <v>74</v>
      </c>
      <c r="M687" t="s">
        <v>77</v>
      </c>
      <c r="N687" t="s">
        <v>78</v>
      </c>
      <c r="O687" t="s">
        <v>74</v>
      </c>
      <c r="P687" t="s">
        <v>74</v>
      </c>
      <c r="Q687" t="s">
        <v>74</v>
      </c>
      <c r="R687" t="s">
        <v>74</v>
      </c>
      <c r="S687" t="s">
        <v>74</v>
      </c>
      <c r="T687" t="s">
        <v>74</v>
      </c>
      <c r="U687" t="s">
        <v>10658</v>
      </c>
      <c r="V687" t="s">
        <v>10659</v>
      </c>
      <c r="W687" t="s">
        <v>10660</v>
      </c>
      <c r="X687" t="s">
        <v>10661</v>
      </c>
      <c r="Y687" t="s">
        <v>10662</v>
      </c>
      <c r="Z687" t="s">
        <v>10663</v>
      </c>
      <c r="AA687" t="s">
        <v>10664</v>
      </c>
      <c r="AB687" t="s">
        <v>10665</v>
      </c>
      <c r="AC687" t="s">
        <v>74</v>
      </c>
      <c r="AD687" t="s">
        <v>74</v>
      </c>
      <c r="AE687" t="s">
        <v>74</v>
      </c>
      <c r="AF687" t="s">
        <v>74</v>
      </c>
      <c r="AG687">
        <v>14</v>
      </c>
      <c r="AH687">
        <v>16</v>
      </c>
      <c r="AI687">
        <v>16</v>
      </c>
      <c r="AJ687">
        <v>0</v>
      </c>
      <c r="AK687">
        <v>1</v>
      </c>
      <c r="AL687" t="s">
        <v>431</v>
      </c>
      <c r="AM687" t="s">
        <v>432</v>
      </c>
      <c r="AN687" t="s">
        <v>433</v>
      </c>
      <c r="AO687" t="s">
        <v>7416</v>
      </c>
      <c r="AP687" t="s">
        <v>7417</v>
      </c>
      <c r="AQ687" t="s">
        <v>74</v>
      </c>
      <c r="AR687" t="s">
        <v>7418</v>
      </c>
      <c r="AS687" t="s">
        <v>7419</v>
      </c>
      <c r="AT687" t="s">
        <v>10666</v>
      </c>
      <c r="AU687">
        <v>2005</v>
      </c>
      <c r="AV687">
        <v>5</v>
      </c>
      <c r="AW687" t="s">
        <v>74</v>
      </c>
      <c r="AX687" t="s">
        <v>74</v>
      </c>
      <c r="AY687" t="s">
        <v>74</v>
      </c>
      <c r="AZ687" t="s">
        <v>74</v>
      </c>
      <c r="BA687" t="s">
        <v>74</v>
      </c>
      <c r="BB687">
        <v>2413</v>
      </c>
      <c r="BC687">
        <v>2417</v>
      </c>
      <c r="BD687" t="s">
        <v>74</v>
      </c>
      <c r="BE687" t="s">
        <v>10667</v>
      </c>
      <c r="BF687" t="str">
        <f>HYPERLINK("http://dx.doi.org/10.5194/acp-5-2413-2005","http://dx.doi.org/10.5194/acp-5-2413-2005")</f>
        <v>http://dx.doi.org/10.5194/acp-5-2413-2005</v>
      </c>
      <c r="BG687" t="s">
        <v>74</v>
      </c>
      <c r="BH687" t="s">
        <v>74</v>
      </c>
      <c r="BI687">
        <v>5</v>
      </c>
      <c r="BJ687" t="s">
        <v>6080</v>
      </c>
      <c r="BK687" t="s">
        <v>98</v>
      </c>
      <c r="BL687" t="s">
        <v>6081</v>
      </c>
      <c r="BM687" t="s">
        <v>10668</v>
      </c>
      <c r="BN687" t="s">
        <v>74</v>
      </c>
      <c r="BO687" t="s">
        <v>9491</v>
      </c>
      <c r="BP687" t="s">
        <v>74</v>
      </c>
      <c r="BQ687" t="s">
        <v>74</v>
      </c>
      <c r="BR687" t="s">
        <v>101</v>
      </c>
      <c r="BS687" t="s">
        <v>10669</v>
      </c>
      <c r="BT687" t="str">
        <f>HYPERLINK("https%3A%2F%2Fwww.webofscience.com%2Fwos%2Fwoscc%2Ffull-record%2FWOS:000231983400001","View Full Record in Web of Science")</f>
        <v>View Full Record in Web of Science</v>
      </c>
    </row>
    <row r="688" spans="1:72" x14ac:dyDescent="0.15">
      <c r="A688" t="s">
        <v>72</v>
      </c>
      <c r="B688" t="s">
        <v>10670</v>
      </c>
      <c r="C688" t="s">
        <v>74</v>
      </c>
      <c r="D688" t="s">
        <v>74</v>
      </c>
      <c r="E688" t="s">
        <v>74</v>
      </c>
      <c r="F688" t="s">
        <v>10670</v>
      </c>
      <c r="G688" t="s">
        <v>74</v>
      </c>
      <c r="H688" t="s">
        <v>74</v>
      </c>
      <c r="I688" t="s">
        <v>10671</v>
      </c>
      <c r="J688" t="s">
        <v>5134</v>
      </c>
      <c r="K688" t="s">
        <v>74</v>
      </c>
      <c r="L688" t="s">
        <v>74</v>
      </c>
      <c r="M688" t="s">
        <v>77</v>
      </c>
      <c r="N688" t="s">
        <v>78</v>
      </c>
      <c r="O688" t="s">
        <v>74</v>
      </c>
      <c r="P688" t="s">
        <v>74</v>
      </c>
      <c r="Q688" t="s">
        <v>74</v>
      </c>
      <c r="R688" t="s">
        <v>74</v>
      </c>
      <c r="S688" t="s">
        <v>74</v>
      </c>
      <c r="T688" t="s">
        <v>74</v>
      </c>
      <c r="U688" t="s">
        <v>10672</v>
      </c>
      <c r="V688" t="s">
        <v>10673</v>
      </c>
      <c r="W688" t="s">
        <v>10674</v>
      </c>
      <c r="X688" t="s">
        <v>10675</v>
      </c>
      <c r="Y688" t="s">
        <v>10676</v>
      </c>
      <c r="Z688" t="s">
        <v>10677</v>
      </c>
      <c r="AA688" t="s">
        <v>10678</v>
      </c>
      <c r="AB688" t="s">
        <v>74</v>
      </c>
      <c r="AC688" t="s">
        <v>74</v>
      </c>
      <c r="AD688" t="s">
        <v>74</v>
      </c>
      <c r="AE688" t="s">
        <v>74</v>
      </c>
      <c r="AF688" t="s">
        <v>74</v>
      </c>
      <c r="AG688">
        <v>13</v>
      </c>
      <c r="AH688">
        <v>20</v>
      </c>
      <c r="AI688">
        <v>22</v>
      </c>
      <c r="AJ688">
        <v>1</v>
      </c>
      <c r="AK688">
        <v>8</v>
      </c>
      <c r="AL688" t="s">
        <v>4487</v>
      </c>
      <c r="AM688" t="s">
        <v>2541</v>
      </c>
      <c r="AN688" t="s">
        <v>4488</v>
      </c>
      <c r="AO688" t="s">
        <v>5142</v>
      </c>
      <c r="AP688" t="s">
        <v>5143</v>
      </c>
      <c r="AQ688" t="s">
        <v>74</v>
      </c>
      <c r="AR688" t="s">
        <v>5144</v>
      </c>
      <c r="AS688" t="s">
        <v>5145</v>
      </c>
      <c r="AT688" t="s">
        <v>10666</v>
      </c>
      <c r="AU688">
        <v>2005</v>
      </c>
      <c r="AV688">
        <v>32</v>
      </c>
      <c r="AW688">
        <v>22</v>
      </c>
      <c r="AX688" t="s">
        <v>74</v>
      </c>
      <c r="AY688" t="s">
        <v>74</v>
      </c>
      <c r="AZ688" t="s">
        <v>74</v>
      </c>
      <c r="BA688" t="s">
        <v>74</v>
      </c>
      <c r="BB688" t="s">
        <v>74</v>
      </c>
      <c r="BC688" t="s">
        <v>74</v>
      </c>
      <c r="BD688" t="s">
        <v>10679</v>
      </c>
      <c r="BE688" t="s">
        <v>10680</v>
      </c>
      <c r="BF688" t="str">
        <f>HYPERLINK("http://dx.doi.org/10.1029/2005GL023524","http://dx.doi.org/10.1029/2005GL023524")</f>
        <v>http://dx.doi.org/10.1029/2005GL023524</v>
      </c>
      <c r="BG688" t="s">
        <v>74</v>
      </c>
      <c r="BH688" t="s">
        <v>74</v>
      </c>
      <c r="BI688">
        <v>4</v>
      </c>
      <c r="BJ688" t="s">
        <v>1129</v>
      </c>
      <c r="BK688" t="s">
        <v>98</v>
      </c>
      <c r="BL688" t="s">
        <v>1130</v>
      </c>
      <c r="BM688" t="s">
        <v>10681</v>
      </c>
      <c r="BN688" t="s">
        <v>74</v>
      </c>
      <c r="BO688" t="s">
        <v>534</v>
      </c>
      <c r="BP688" t="s">
        <v>74</v>
      </c>
      <c r="BQ688" t="s">
        <v>74</v>
      </c>
      <c r="BR688" t="s">
        <v>101</v>
      </c>
      <c r="BS688" t="s">
        <v>10682</v>
      </c>
      <c r="BT688" t="str">
        <f>HYPERLINK("https%3A%2F%2Fwww.webofscience.com%2Fwos%2Fwoscc%2Ffull-record%2FWOS:000232177900001","View Full Record in Web of Science")</f>
        <v>View Full Record in Web of Science</v>
      </c>
    </row>
    <row r="689" spans="1:72" x14ac:dyDescent="0.15">
      <c r="A689" t="s">
        <v>72</v>
      </c>
      <c r="B689" t="s">
        <v>10683</v>
      </c>
      <c r="C689" t="s">
        <v>74</v>
      </c>
      <c r="D689" t="s">
        <v>74</v>
      </c>
      <c r="E689" t="s">
        <v>74</v>
      </c>
      <c r="F689" t="s">
        <v>10683</v>
      </c>
      <c r="G689" t="s">
        <v>74</v>
      </c>
      <c r="H689" t="s">
        <v>74</v>
      </c>
      <c r="I689" t="s">
        <v>10684</v>
      </c>
      <c r="J689" t="s">
        <v>10685</v>
      </c>
      <c r="K689" t="s">
        <v>74</v>
      </c>
      <c r="L689" t="s">
        <v>74</v>
      </c>
      <c r="M689" t="s">
        <v>77</v>
      </c>
      <c r="N689" t="s">
        <v>78</v>
      </c>
      <c r="O689" t="s">
        <v>74</v>
      </c>
      <c r="P689" t="s">
        <v>74</v>
      </c>
      <c r="Q689" t="s">
        <v>74</v>
      </c>
      <c r="R689" t="s">
        <v>74</v>
      </c>
      <c r="S689" t="s">
        <v>74</v>
      </c>
      <c r="T689" t="s">
        <v>74</v>
      </c>
      <c r="U689" t="s">
        <v>10686</v>
      </c>
      <c r="V689" t="s">
        <v>10687</v>
      </c>
      <c r="W689" t="s">
        <v>10688</v>
      </c>
      <c r="X689" t="s">
        <v>10689</v>
      </c>
      <c r="Y689" t="s">
        <v>5407</v>
      </c>
      <c r="Z689" t="s">
        <v>5069</v>
      </c>
      <c r="AA689" t="s">
        <v>10690</v>
      </c>
      <c r="AB689" t="s">
        <v>10691</v>
      </c>
      <c r="AC689" t="s">
        <v>74</v>
      </c>
      <c r="AD689" t="s">
        <v>74</v>
      </c>
      <c r="AE689" t="s">
        <v>74</v>
      </c>
      <c r="AF689" t="s">
        <v>74</v>
      </c>
      <c r="AG689">
        <v>70</v>
      </c>
      <c r="AH689">
        <v>66</v>
      </c>
      <c r="AI689">
        <v>70</v>
      </c>
      <c r="AJ689">
        <v>0</v>
      </c>
      <c r="AK689">
        <v>16</v>
      </c>
      <c r="AL689" t="s">
        <v>4487</v>
      </c>
      <c r="AM689" t="s">
        <v>2541</v>
      </c>
      <c r="AN689" t="s">
        <v>4488</v>
      </c>
      <c r="AO689" t="s">
        <v>10692</v>
      </c>
      <c r="AP689" t="s">
        <v>10693</v>
      </c>
      <c r="AQ689" t="s">
        <v>74</v>
      </c>
      <c r="AR689" t="s">
        <v>10694</v>
      </c>
      <c r="AS689" t="s">
        <v>10695</v>
      </c>
      <c r="AT689" t="s">
        <v>10666</v>
      </c>
      <c r="AU689">
        <v>2005</v>
      </c>
      <c r="AV689">
        <v>41</v>
      </c>
      <c r="AW689">
        <v>9</v>
      </c>
      <c r="AX689" t="s">
        <v>74</v>
      </c>
      <c r="AY689" t="s">
        <v>74</v>
      </c>
      <c r="AZ689" t="s">
        <v>74</v>
      </c>
      <c r="BA689" t="s">
        <v>74</v>
      </c>
      <c r="BB689" t="s">
        <v>74</v>
      </c>
      <c r="BC689" t="s">
        <v>74</v>
      </c>
      <c r="BD689" t="s">
        <v>10696</v>
      </c>
      <c r="BE689" t="s">
        <v>10697</v>
      </c>
      <c r="BF689" t="str">
        <f>HYPERLINK("http://dx.doi.org/10.1029/2005WR004018","http://dx.doi.org/10.1029/2005WR004018")</f>
        <v>http://dx.doi.org/10.1029/2005WR004018</v>
      </c>
      <c r="BG689" t="s">
        <v>74</v>
      </c>
      <c r="BH689" t="s">
        <v>74</v>
      </c>
      <c r="BI689">
        <v>15</v>
      </c>
      <c r="BJ689" t="s">
        <v>10698</v>
      </c>
      <c r="BK689" t="s">
        <v>98</v>
      </c>
      <c r="BL689" t="s">
        <v>10699</v>
      </c>
      <c r="BM689" t="s">
        <v>10700</v>
      </c>
      <c r="BN689" t="s">
        <v>74</v>
      </c>
      <c r="BO689" t="s">
        <v>1900</v>
      </c>
      <c r="BP689" t="s">
        <v>74</v>
      </c>
      <c r="BQ689" t="s">
        <v>74</v>
      </c>
      <c r="BR689" t="s">
        <v>101</v>
      </c>
      <c r="BS689" t="s">
        <v>10701</v>
      </c>
      <c r="BT689" t="str">
        <f>HYPERLINK("https%3A%2F%2Fwww.webofscience.com%2Fwos%2Fwoscc%2Ffull-record%2FWOS:000232185100004","View Full Record in Web of Science")</f>
        <v>View Full Record in Web of Science</v>
      </c>
    </row>
    <row r="690" spans="1:72" x14ac:dyDescent="0.15">
      <c r="A690" t="s">
        <v>72</v>
      </c>
      <c r="B690" t="s">
        <v>10702</v>
      </c>
      <c r="C690" t="s">
        <v>74</v>
      </c>
      <c r="D690" t="s">
        <v>74</v>
      </c>
      <c r="E690" t="s">
        <v>74</v>
      </c>
      <c r="F690" t="s">
        <v>10702</v>
      </c>
      <c r="G690" t="s">
        <v>74</v>
      </c>
      <c r="H690" t="s">
        <v>74</v>
      </c>
      <c r="I690" t="s">
        <v>10703</v>
      </c>
      <c r="J690" t="s">
        <v>5251</v>
      </c>
      <c r="K690" t="s">
        <v>74</v>
      </c>
      <c r="L690" t="s">
        <v>74</v>
      </c>
      <c r="M690" t="s">
        <v>77</v>
      </c>
      <c r="N690" t="s">
        <v>78</v>
      </c>
      <c r="O690" t="s">
        <v>74</v>
      </c>
      <c r="P690" t="s">
        <v>74</v>
      </c>
      <c r="Q690" t="s">
        <v>74</v>
      </c>
      <c r="R690" t="s">
        <v>74</v>
      </c>
      <c r="S690" t="s">
        <v>74</v>
      </c>
      <c r="T690" t="s">
        <v>74</v>
      </c>
      <c r="U690" t="s">
        <v>10704</v>
      </c>
      <c r="V690" t="s">
        <v>10705</v>
      </c>
      <c r="W690" t="s">
        <v>10706</v>
      </c>
      <c r="X690" t="s">
        <v>10707</v>
      </c>
      <c r="Y690" t="s">
        <v>10708</v>
      </c>
      <c r="Z690" t="s">
        <v>10709</v>
      </c>
      <c r="AA690" t="s">
        <v>74</v>
      </c>
      <c r="AB690" t="s">
        <v>74</v>
      </c>
      <c r="AC690" t="s">
        <v>74</v>
      </c>
      <c r="AD690" t="s">
        <v>74</v>
      </c>
      <c r="AE690" t="s">
        <v>74</v>
      </c>
      <c r="AF690" t="s">
        <v>74</v>
      </c>
      <c r="AG690">
        <v>45</v>
      </c>
      <c r="AH690">
        <v>47</v>
      </c>
      <c r="AI690">
        <v>51</v>
      </c>
      <c r="AJ690">
        <v>0</v>
      </c>
      <c r="AK690">
        <v>8</v>
      </c>
      <c r="AL690" t="s">
        <v>4487</v>
      </c>
      <c r="AM690" t="s">
        <v>2541</v>
      </c>
      <c r="AN690" t="s">
        <v>4488</v>
      </c>
      <c r="AO690" t="s">
        <v>5260</v>
      </c>
      <c r="AP690" t="s">
        <v>5261</v>
      </c>
      <c r="AQ690" t="s">
        <v>74</v>
      </c>
      <c r="AR690" t="s">
        <v>5262</v>
      </c>
      <c r="AS690" t="s">
        <v>5263</v>
      </c>
      <c r="AT690" t="s">
        <v>10710</v>
      </c>
      <c r="AU690">
        <v>2005</v>
      </c>
      <c r="AV690">
        <v>110</v>
      </c>
      <c r="AW690" t="s">
        <v>10637</v>
      </c>
      <c r="AX690" t="s">
        <v>74</v>
      </c>
      <c r="AY690" t="s">
        <v>74</v>
      </c>
      <c r="AZ690" t="s">
        <v>74</v>
      </c>
      <c r="BA690" t="s">
        <v>74</v>
      </c>
      <c r="BB690" t="s">
        <v>74</v>
      </c>
      <c r="BC690" t="s">
        <v>74</v>
      </c>
      <c r="BD690" t="s">
        <v>10711</v>
      </c>
      <c r="BE690" t="s">
        <v>10712</v>
      </c>
      <c r="BF690" t="str">
        <f>HYPERLINK("http://dx.doi.org/10.1029/2003JC002200","http://dx.doi.org/10.1029/2003JC002200")</f>
        <v>http://dx.doi.org/10.1029/2003JC002200</v>
      </c>
      <c r="BG690" t="s">
        <v>74</v>
      </c>
      <c r="BH690" t="s">
        <v>74</v>
      </c>
      <c r="BI690">
        <v>17</v>
      </c>
      <c r="BJ690" t="s">
        <v>629</v>
      </c>
      <c r="BK690" t="s">
        <v>98</v>
      </c>
      <c r="BL690" t="s">
        <v>629</v>
      </c>
      <c r="BM690" t="s">
        <v>10713</v>
      </c>
      <c r="BN690" t="s">
        <v>74</v>
      </c>
      <c r="BO690" t="s">
        <v>1900</v>
      </c>
      <c r="BP690" t="s">
        <v>74</v>
      </c>
      <c r="BQ690" t="s">
        <v>74</v>
      </c>
      <c r="BR690" t="s">
        <v>101</v>
      </c>
      <c r="BS690" t="s">
        <v>10714</v>
      </c>
      <c r="BT690" t="str">
        <f>HYPERLINK("https%3A%2F%2Fwww.webofscience.com%2Fwos%2Fwoscc%2Ffull-record%2FWOS:000232111200001","View Full Record in Web of Science")</f>
        <v>View Full Record in Web of Science</v>
      </c>
    </row>
    <row r="691" spans="1:72" x14ac:dyDescent="0.15">
      <c r="A691" t="s">
        <v>72</v>
      </c>
      <c r="B691" t="s">
        <v>10715</v>
      </c>
      <c r="C691" t="s">
        <v>74</v>
      </c>
      <c r="D691" t="s">
        <v>74</v>
      </c>
      <c r="E691" t="s">
        <v>74</v>
      </c>
      <c r="F691" t="s">
        <v>10715</v>
      </c>
      <c r="G691" t="s">
        <v>74</v>
      </c>
      <c r="H691" t="s">
        <v>74</v>
      </c>
      <c r="I691" t="s">
        <v>10716</v>
      </c>
      <c r="J691" t="s">
        <v>7721</v>
      </c>
      <c r="K691" t="s">
        <v>74</v>
      </c>
      <c r="L691" t="s">
        <v>74</v>
      </c>
      <c r="M691" t="s">
        <v>77</v>
      </c>
      <c r="N691" t="s">
        <v>78</v>
      </c>
      <c r="O691" t="s">
        <v>74</v>
      </c>
      <c r="P691" t="s">
        <v>74</v>
      </c>
      <c r="Q691" t="s">
        <v>74</v>
      </c>
      <c r="R691" t="s">
        <v>74</v>
      </c>
      <c r="S691" t="s">
        <v>74</v>
      </c>
      <c r="T691" t="s">
        <v>74</v>
      </c>
      <c r="U691" t="s">
        <v>10717</v>
      </c>
      <c r="V691" t="s">
        <v>10718</v>
      </c>
      <c r="W691" t="s">
        <v>10719</v>
      </c>
      <c r="X691" t="s">
        <v>10720</v>
      </c>
      <c r="Y691" t="s">
        <v>10721</v>
      </c>
      <c r="Z691" t="s">
        <v>10722</v>
      </c>
      <c r="AA691" t="s">
        <v>10723</v>
      </c>
      <c r="AB691" t="s">
        <v>10724</v>
      </c>
      <c r="AC691" t="s">
        <v>74</v>
      </c>
      <c r="AD691" t="s">
        <v>74</v>
      </c>
      <c r="AE691" t="s">
        <v>74</v>
      </c>
      <c r="AF691" t="s">
        <v>74</v>
      </c>
      <c r="AG691">
        <v>29</v>
      </c>
      <c r="AH691">
        <v>32</v>
      </c>
      <c r="AI691">
        <v>33</v>
      </c>
      <c r="AJ691">
        <v>0</v>
      </c>
      <c r="AK691">
        <v>3</v>
      </c>
      <c r="AL691" t="s">
        <v>4487</v>
      </c>
      <c r="AM691" t="s">
        <v>2541</v>
      </c>
      <c r="AN691" t="s">
        <v>4488</v>
      </c>
      <c r="AO691" t="s">
        <v>7728</v>
      </c>
      <c r="AP691" t="s">
        <v>7729</v>
      </c>
      <c r="AQ691" t="s">
        <v>74</v>
      </c>
      <c r="AR691" t="s">
        <v>7730</v>
      </c>
      <c r="AS691" t="s">
        <v>7731</v>
      </c>
      <c r="AT691" t="s">
        <v>10710</v>
      </c>
      <c r="AU691">
        <v>2005</v>
      </c>
      <c r="AV691">
        <v>110</v>
      </c>
      <c r="AW691" t="s">
        <v>10528</v>
      </c>
      <c r="AX691" t="s">
        <v>74</v>
      </c>
      <c r="AY691" t="s">
        <v>74</v>
      </c>
      <c r="AZ691" t="s">
        <v>74</v>
      </c>
      <c r="BA691" t="s">
        <v>74</v>
      </c>
      <c r="BB691" t="s">
        <v>74</v>
      </c>
      <c r="BC691" t="s">
        <v>74</v>
      </c>
      <c r="BD691" t="s">
        <v>10725</v>
      </c>
      <c r="BE691" t="s">
        <v>10726</v>
      </c>
      <c r="BF691" t="str">
        <f>HYPERLINK("http://dx.doi.org/10.1029/2004JA010922","http://dx.doi.org/10.1029/2004JA010922")</f>
        <v>http://dx.doi.org/10.1029/2004JA010922</v>
      </c>
      <c r="BG691" t="s">
        <v>74</v>
      </c>
      <c r="BH691" t="s">
        <v>74</v>
      </c>
      <c r="BI691">
        <v>7</v>
      </c>
      <c r="BJ691" t="s">
        <v>4376</v>
      </c>
      <c r="BK691" t="s">
        <v>98</v>
      </c>
      <c r="BL691" t="s">
        <v>4376</v>
      </c>
      <c r="BM691" t="s">
        <v>10727</v>
      </c>
      <c r="BN691" t="s">
        <v>74</v>
      </c>
      <c r="BO691" t="s">
        <v>1900</v>
      </c>
      <c r="BP691" t="s">
        <v>74</v>
      </c>
      <c r="BQ691" t="s">
        <v>74</v>
      </c>
      <c r="BR691" t="s">
        <v>101</v>
      </c>
      <c r="BS691" t="s">
        <v>10728</v>
      </c>
      <c r="BT691" t="str">
        <f>HYPERLINK("https%3A%2F%2Fwww.webofscience.com%2Fwos%2Fwoscc%2Ffull-record%2FWOS:000232112500004","View Full Record in Web of Science")</f>
        <v>View Full Record in Web of Science</v>
      </c>
    </row>
    <row r="692" spans="1:72" x14ac:dyDescent="0.15">
      <c r="A692" t="s">
        <v>72</v>
      </c>
      <c r="B692" t="s">
        <v>10729</v>
      </c>
      <c r="C692" t="s">
        <v>74</v>
      </c>
      <c r="D692" t="s">
        <v>74</v>
      </c>
      <c r="E692" t="s">
        <v>74</v>
      </c>
      <c r="F692" t="s">
        <v>10729</v>
      </c>
      <c r="G692" t="s">
        <v>74</v>
      </c>
      <c r="H692" t="s">
        <v>74</v>
      </c>
      <c r="I692" t="s">
        <v>10730</v>
      </c>
      <c r="J692" t="s">
        <v>5134</v>
      </c>
      <c r="K692" t="s">
        <v>74</v>
      </c>
      <c r="L692" t="s">
        <v>74</v>
      </c>
      <c r="M692" t="s">
        <v>77</v>
      </c>
      <c r="N692" t="s">
        <v>78</v>
      </c>
      <c r="O692" t="s">
        <v>74</v>
      </c>
      <c r="P692" t="s">
        <v>74</v>
      </c>
      <c r="Q692" t="s">
        <v>74</v>
      </c>
      <c r="R692" t="s">
        <v>74</v>
      </c>
      <c r="S692" t="s">
        <v>74</v>
      </c>
      <c r="T692" t="s">
        <v>74</v>
      </c>
      <c r="U692" t="s">
        <v>10731</v>
      </c>
      <c r="V692" t="s">
        <v>10732</v>
      </c>
      <c r="W692" t="s">
        <v>10733</v>
      </c>
      <c r="X692" t="s">
        <v>10734</v>
      </c>
      <c r="Y692" t="s">
        <v>10735</v>
      </c>
      <c r="Z692" t="s">
        <v>10736</v>
      </c>
      <c r="AA692" t="s">
        <v>10737</v>
      </c>
      <c r="AB692" t="s">
        <v>10738</v>
      </c>
      <c r="AC692" t="s">
        <v>74</v>
      </c>
      <c r="AD692" t="s">
        <v>74</v>
      </c>
      <c r="AE692" t="s">
        <v>74</v>
      </c>
      <c r="AF692" t="s">
        <v>74</v>
      </c>
      <c r="AG692">
        <v>26</v>
      </c>
      <c r="AH692">
        <v>69</v>
      </c>
      <c r="AI692">
        <v>78</v>
      </c>
      <c r="AJ692">
        <v>0</v>
      </c>
      <c r="AK692">
        <v>15</v>
      </c>
      <c r="AL692" t="s">
        <v>4487</v>
      </c>
      <c r="AM692" t="s">
        <v>2541</v>
      </c>
      <c r="AN692" t="s">
        <v>4488</v>
      </c>
      <c r="AO692" t="s">
        <v>5142</v>
      </c>
      <c r="AP692" t="s">
        <v>74</v>
      </c>
      <c r="AQ692" t="s">
        <v>74</v>
      </c>
      <c r="AR692" t="s">
        <v>5144</v>
      </c>
      <c r="AS692" t="s">
        <v>5145</v>
      </c>
      <c r="AT692" t="s">
        <v>10739</v>
      </c>
      <c r="AU692">
        <v>2005</v>
      </c>
      <c r="AV692">
        <v>32</v>
      </c>
      <c r="AW692">
        <v>18</v>
      </c>
      <c r="AX692" t="s">
        <v>74</v>
      </c>
      <c r="AY692" t="s">
        <v>74</v>
      </c>
      <c r="AZ692" t="s">
        <v>74</v>
      </c>
      <c r="BA692" t="s">
        <v>74</v>
      </c>
      <c r="BB692" t="s">
        <v>74</v>
      </c>
      <c r="BC692" t="s">
        <v>74</v>
      </c>
      <c r="BD692" t="s">
        <v>10740</v>
      </c>
      <c r="BE692" t="s">
        <v>10741</v>
      </c>
      <c r="BF692" t="str">
        <f>HYPERLINK("http://dx.doi.org/10.1029/2005GL023568","http://dx.doi.org/10.1029/2005GL023568")</f>
        <v>http://dx.doi.org/10.1029/2005GL023568</v>
      </c>
      <c r="BG692" t="s">
        <v>74</v>
      </c>
      <c r="BH692" t="s">
        <v>74</v>
      </c>
      <c r="BI692">
        <v>5</v>
      </c>
      <c r="BJ692" t="s">
        <v>1129</v>
      </c>
      <c r="BK692" t="s">
        <v>98</v>
      </c>
      <c r="BL692" t="s">
        <v>1130</v>
      </c>
      <c r="BM692" t="s">
        <v>10742</v>
      </c>
      <c r="BN692" t="s">
        <v>74</v>
      </c>
      <c r="BO692" t="s">
        <v>5268</v>
      </c>
      <c r="BP692" t="s">
        <v>74</v>
      </c>
      <c r="BQ692" t="s">
        <v>74</v>
      </c>
      <c r="BR692" t="s">
        <v>101</v>
      </c>
      <c r="BS692" t="s">
        <v>10743</v>
      </c>
      <c r="BT692" t="str">
        <f>HYPERLINK("https%3A%2F%2Fwww.webofscience.com%2Fwos%2Fwoscc%2Ffull-record%2FWOS:000232110300004","View Full Record in Web of Science")</f>
        <v>View Full Record in Web of Science</v>
      </c>
    </row>
    <row r="693" spans="1:72" x14ac:dyDescent="0.15">
      <c r="A693" t="s">
        <v>72</v>
      </c>
      <c r="B693" t="s">
        <v>10744</v>
      </c>
      <c r="C693" t="s">
        <v>74</v>
      </c>
      <c r="D693" t="s">
        <v>74</v>
      </c>
      <c r="E693" t="s">
        <v>74</v>
      </c>
      <c r="F693" t="s">
        <v>10744</v>
      </c>
      <c r="G693" t="s">
        <v>74</v>
      </c>
      <c r="H693" t="s">
        <v>74</v>
      </c>
      <c r="I693" t="s">
        <v>10745</v>
      </c>
      <c r="J693" t="s">
        <v>5441</v>
      </c>
      <c r="K693" t="s">
        <v>74</v>
      </c>
      <c r="L693" t="s">
        <v>74</v>
      </c>
      <c r="M693" t="s">
        <v>77</v>
      </c>
      <c r="N693" t="s">
        <v>289</v>
      </c>
      <c r="O693" t="s">
        <v>74</v>
      </c>
      <c r="P693" t="s">
        <v>74</v>
      </c>
      <c r="Q693" t="s">
        <v>74</v>
      </c>
      <c r="R693" t="s">
        <v>74</v>
      </c>
      <c r="S693" t="s">
        <v>74</v>
      </c>
      <c r="T693" t="s">
        <v>74</v>
      </c>
      <c r="U693" t="s">
        <v>10746</v>
      </c>
      <c r="V693" t="s">
        <v>10747</v>
      </c>
      <c r="W693" t="s">
        <v>10748</v>
      </c>
      <c r="X693" t="s">
        <v>10749</v>
      </c>
      <c r="Y693" t="s">
        <v>10750</v>
      </c>
      <c r="Z693" t="s">
        <v>10751</v>
      </c>
      <c r="AA693" t="s">
        <v>74</v>
      </c>
      <c r="AB693" t="s">
        <v>74</v>
      </c>
      <c r="AC693" t="s">
        <v>74</v>
      </c>
      <c r="AD693" t="s">
        <v>74</v>
      </c>
      <c r="AE693" t="s">
        <v>74</v>
      </c>
      <c r="AF693" t="s">
        <v>74</v>
      </c>
      <c r="AG693">
        <v>102</v>
      </c>
      <c r="AH693">
        <v>14</v>
      </c>
      <c r="AI693">
        <v>17</v>
      </c>
      <c r="AJ693">
        <v>1</v>
      </c>
      <c r="AK693">
        <v>15</v>
      </c>
      <c r="AL693" t="s">
        <v>4487</v>
      </c>
      <c r="AM693" t="s">
        <v>2541</v>
      </c>
      <c r="AN693" t="s">
        <v>4488</v>
      </c>
      <c r="AO693" t="s">
        <v>5447</v>
      </c>
      <c r="AP693" t="s">
        <v>5448</v>
      </c>
      <c r="AQ693" t="s">
        <v>74</v>
      </c>
      <c r="AR693" t="s">
        <v>5441</v>
      </c>
      <c r="AS693" t="s">
        <v>5449</v>
      </c>
      <c r="AT693" t="s">
        <v>10739</v>
      </c>
      <c r="AU693">
        <v>2005</v>
      </c>
      <c r="AV693">
        <v>20</v>
      </c>
      <c r="AW693">
        <v>3</v>
      </c>
      <c r="AX693" t="s">
        <v>74</v>
      </c>
      <c r="AY693" t="s">
        <v>74</v>
      </c>
      <c r="AZ693" t="s">
        <v>74</v>
      </c>
      <c r="BA693" t="s">
        <v>74</v>
      </c>
      <c r="BB693" t="s">
        <v>74</v>
      </c>
      <c r="BC693" t="s">
        <v>74</v>
      </c>
      <c r="BD693" t="s">
        <v>10752</v>
      </c>
      <c r="BE693" t="s">
        <v>10753</v>
      </c>
      <c r="BF693" t="str">
        <f>HYPERLINK("http://dx.doi.org/10.1029/2004PA001082","http://dx.doi.org/10.1029/2004PA001082")</f>
        <v>http://dx.doi.org/10.1029/2004PA001082</v>
      </c>
      <c r="BG693" t="s">
        <v>74</v>
      </c>
      <c r="BH693" t="s">
        <v>74</v>
      </c>
      <c r="BI693">
        <v>16</v>
      </c>
      <c r="BJ693" t="s">
        <v>5452</v>
      </c>
      <c r="BK693" t="s">
        <v>98</v>
      </c>
      <c r="BL693" t="s">
        <v>5453</v>
      </c>
      <c r="BM693" t="s">
        <v>10754</v>
      </c>
      <c r="BN693" t="s">
        <v>74</v>
      </c>
      <c r="BO693" t="s">
        <v>1900</v>
      </c>
      <c r="BP693" t="s">
        <v>74</v>
      </c>
      <c r="BQ693" t="s">
        <v>74</v>
      </c>
      <c r="BR693" t="s">
        <v>101</v>
      </c>
      <c r="BS693" t="s">
        <v>10755</v>
      </c>
      <c r="BT693" t="str">
        <f>HYPERLINK("https%3A%2F%2Fwww.webofscience.com%2Fwos%2Fwoscc%2Ffull-record%2FWOS:000232112700001","View Full Record in Web of Science")</f>
        <v>View Full Record in Web of Science</v>
      </c>
    </row>
    <row r="694" spans="1:72" x14ac:dyDescent="0.15">
      <c r="A694" t="s">
        <v>72</v>
      </c>
      <c r="B694" t="s">
        <v>10756</v>
      </c>
      <c r="C694" t="s">
        <v>74</v>
      </c>
      <c r="D694" t="s">
        <v>74</v>
      </c>
      <c r="E694" t="s">
        <v>74</v>
      </c>
      <c r="F694" t="s">
        <v>10756</v>
      </c>
      <c r="G694" t="s">
        <v>74</v>
      </c>
      <c r="H694" t="s">
        <v>74</v>
      </c>
      <c r="I694" t="s">
        <v>10757</v>
      </c>
      <c r="J694" t="s">
        <v>5339</v>
      </c>
      <c r="K694" t="s">
        <v>74</v>
      </c>
      <c r="L694" t="s">
        <v>74</v>
      </c>
      <c r="M694" t="s">
        <v>77</v>
      </c>
      <c r="N694" t="s">
        <v>78</v>
      </c>
      <c r="O694" t="s">
        <v>74</v>
      </c>
      <c r="P694" t="s">
        <v>74</v>
      </c>
      <c r="Q694" t="s">
        <v>74</v>
      </c>
      <c r="R694" t="s">
        <v>74</v>
      </c>
      <c r="S694" t="s">
        <v>74</v>
      </c>
      <c r="T694" t="s">
        <v>10758</v>
      </c>
      <c r="U694" t="s">
        <v>10759</v>
      </c>
      <c r="V694" t="s">
        <v>10760</v>
      </c>
      <c r="W694" t="s">
        <v>10761</v>
      </c>
      <c r="X694" t="s">
        <v>10762</v>
      </c>
      <c r="Y694" t="s">
        <v>10763</v>
      </c>
      <c r="Z694" t="s">
        <v>10764</v>
      </c>
      <c r="AA694" t="s">
        <v>10765</v>
      </c>
      <c r="AB694" t="s">
        <v>10766</v>
      </c>
      <c r="AC694" t="s">
        <v>74</v>
      </c>
      <c r="AD694" t="s">
        <v>74</v>
      </c>
      <c r="AE694" t="s">
        <v>74</v>
      </c>
      <c r="AF694" t="s">
        <v>74</v>
      </c>
      <c r="AG694">
        <v>20</v>
      </c>
      <c r="AH694">
        <v>52</v>
      </c>
      <c r="AI694">
        <v>63</v>
      </c>
      <c r="AJ694">
        <v>0</v>
      </c>
      <c r="AK694">
        <v>18</v>
      </c>
      <c r="AL694" t="s">
        <v>3283</v>
      </c>
      <c r="AM694" t="s">
        <v>1148</v>
      </c>
      <c r="AN694" t="s">
        <v>3284</v>
      </c>
      <c r="AO694" t="s">
        <v>5349</v>
      </c>
      <c r="AP694" t="s">
        <v>5350</v>
      </c>
      <c r="AQ694" t="s">
        <v>74</v>
      </c>
      <c r="AR694" t="s">
        <v>5351</v>
      </c>
      <c r="AS694" t="s">
        <v>5352</v>
      </c>
      <c r="AT694" t="s">
        <v>10767</v>
      </c>
      <c r="AU694">
        <v>2005</v>
      </c>
      <c r="AV694">
        <v>237</v>
      </c>
      <c r="AW694" t="s">
        <v>530</v>
      </c>
      <c r="AX694" t="s">
        <v>74</v>
      </c>
      <c r="AY694" t="s">
        <v>74</v>
      </c>
      <c r="AZ694" t="s">
        <v>74</v>
      </c>
      <c r="BA694" t="s">
        <v>74</v>
      </c>
      <c r="BB694">
        <v>516</v>
      </c>
      <c r="BC694">
        <v>523</v>
      </c>
      <c r="BD694" t="s">
        <v>74</v>
      </c>
      <c r="BE694" t="s">
        <v>10768</v>
      </c>
      <c r="BF694" t="str">
        <f>HYPERLINK("http://dx.doi.org/10.1016/j.epsl.2005.06.008","http://dx.doi.org/10.1016/j.epsl.2005.06.008")</f>
        <v>http://dx.doi.org/10.1016/j.epsl.2005.06.008</v>
      </c>
      <c r="BG694" t="s">
        <v>74</v>
      </c>
      <c r="BH694" t="s">
        <v>74</v>
      </c>
      <c r="BI694">
        <v>8</v>
      </c>
      <c r="BJ694" t="s">
        <v>1348</v>
      </c>
      <c r="BK694" t="s">
        <v>98</v>
      </c>
      <c r="BL694" t="s">
        <v>1348</v>
      </c>
      <c r="BM694" t="s">
        <v>10769</v>
      </c>
      <c r="BN694" t="s">
        <v>74</v>
      </c>
      <c r="BO694" t="s">
        <v>74</v>
      </c>
      <c r="BP694" t="s">
        <v>74</v>
      </c>
      <c r="BQ694" t="s">
        <v>74</v>
      </c>
      <c r="BR694" t="s">
        <v>101</v>
      </c>
      <c r="BS694" t="s">
        <v>10770</v>
      </c>
      <c r="BT694" t="str">
        <f>HYPERLINK("https%3A%2F%2Fwww.webofscience.com%2Fwos%2Fwoscc%2Ffull-record%2FWOS:000232155200014","View Full Record in Web of Science")</f>
        <v>View Full Record in Web of Science</v>
      </c>
    </row>
    <row r="695" spans="1:72" x14ac:dyDescent="0.15">
      <c r="A695" t="s">
        <v>72</v>
      </c>
      <c r="B695" t="s">
        <v>10771</v>
      </c>
      <c r="C695" t="s">
        <v>74</v>
      </c>
      <c r="D695" t="s">
        <v>74</v>
      </c>
      <c r="E695" t="s">
        <v>74</v>
      </c>
      <c r="F695" t="s">
        <v>10771</v>
      </c>
      <c r="G695" t="s">
        <v>74</v>
      </c>
      <c r="H695" t="s">
        <v>74</v>
      </c>
      <c r="I695" t="s">
        <v>10772</v>
      </c>
      <c r="J695" t="s">
        <v>8800</v>
      </c>
      <c r="K695" t="s">
        <v>74</v>
      </c>
      <c r="L695" t="s">
        <v>74</v>
      </c>
      <c r="M695" t="s">
        <v>77</v>
      </c>
      <c r="N695" t="s">
        <v>78</v>
      </c>
      <c r="O695" t="s">
        <v>74</v>
      </c>
      <c r="P695" t="s">
        <v>74</v>
      </c>
      <c r="Q695" t="s">
        <v>74</v>
      </c>
      <c r="R695" t="s">
        <v>74</v>
      </c>
      <c r="S695" t="s">
        <v>74</v>
      </c>
      <c r="T695" t="s">
        <v>74</v>
      </c>
      <c r="U695" t="s">
        <v>10773</v>
      </c>
      <c r="V695" t="s">
        <v>10774</v>
      </c>
      <c r="W695" t="s">
        <v>10775</v>
      </c>
      <c r="X695" t="s">
        <v>10776</v>
      </c>
      <c r="Y695" t="s">
        <v>10777</v>
      </c>
      <c r="Z695" t="s">
        <v>10778</v>
      </c>
      <c r="AA695" t="s">
        <v>10779</v>
      </c>
      <c r="AB695" t="s">
        <v>10780</v>
      </c>
      <c r="AC695" t="s">
        <v>74</v>
      </c>
      <c r="AD695" t="s">
        <v>74</v>
      </c>
      <c r="AE695" t="s">
        <v>74</v>
      </c>
      <c r="AF695" t="s">
        <v>74</v>
      </c>
      <c r="AG695">
        <v>55</v>
      </c>
      <c r="AH695">
        <v>159</v>
      </c>
      <c r="AI695">
        <v>168</v>
      </c>
      <c r="AJ695">
        <v>1</v>
      </c>
      <c r="AK695">
        <v>18</v>
      </c>
      <c r="AL695" t="s">
        <v>6583</v>
      </c>
      <c r="AM695" t="s">
        <v>6584</v>
      </c>
      <c r="AN695" t="s">
        <v>6585</v>
      </c>
      <c r="AO695" t="s">
        <v>8807</v>
      </c>
      <c r="AP695" t="s">
        <v>8808</v>
      </c>
      <c r="AQ695" t="s">
        <v>74</v>
      </c>
      <c r="AR695" t="s">
        <v>8809</v>
      </c>
      <c r="AS695" t="s">
        <v>8810</v>
      </c>
      <c r="AT695" t="s">
        <v>10767</v>
      </c>
      <c r="AU695">
        <v>2005</v>
      </c>
      <c r="AV695">
        <v>18</v>
      </c>
      <c r="AW695">
        <v>18</v>
      </c>
      <c r="AX695" t="s">
        <v>74</v>
      </c>
      <c r="AY695" t="s">
        <v>74</v>
      </c>
      <c r="AZ695" t="s">
        <v>74</v>
      </c>
      <c r="BA695" t="s">
        <v>74</v>
      </c>
      <c r="BB695">
        <v>3713</v>
      </c>
      <c r="BC695">
        <v>3725</v>
      </c>
      <c r="BD695" t="s">
        <v>74</v>
      </c>
      <c r="BE695" t="s">
        <v>10781</v>
      </c>
      <c r="BF695" t="str">
        <f>HYPERLINK("http://dx.doi.org/10.1175/JCLI3455.1","http://dx.doi.org/10.1175/JCLI3455.1")</f>
        <v>http://dx.doi.org/10.1175/JCLI3455.1</v>
      </c>
      <c r="BG695" t="s">
        <v>74</v>
      </c>
      <c r="BH695" t="s">
        <v>74</v>
      </c>
      <c r="BI695">
        <v>13</v>
      </c>
      <c r="BJ695" t="s">
        <v>2033</v>
      </c>
      <c r="BK695" t="s">
        <v>98</v>
      </c>
      <c r="BL695" t="s">
        <v>2033</v>
      </c>
      <c r="BM695" t="s">
        <v>10782</v>
      </c>
      <c r="BN695" t="s">
        <v>74</v>
      </c>
      <c r="BO695" t="s">
        <v>2656</v>
      </c>
      <c r="BP695" t="s">
        <v>74</v>
      </c>
      <c r="BQ695" t="s">
        <v>74</v>
      </c>
      <c r="BR695" t="s">
        <v>101</v>
      </c>
      <c r="BS695" t="s">
        <v>10783</v>
      </c>
      <c r="BT695" t="str">
        <f>HYPERLINK("https%3A%2F%2Fwww.webofscience.com%2Fwos%2Fwoscc%2Ffull-record%2FWOS:000232635600001","View Full Record in Web of Science")</f>
        <v>View Full Record in Web of Science</v>
      </c>
    </row>
    <row r="696" spans="1:72" x14ac:dyDescent="0.15">
      <c r="A696" t="s">
        <v>72</v>
      </c>
      <c r="B696" t="s">
        <v>10784</v>
      </c>
      <c r="C696" t="s">
        <v>74</v>
      </c>
      <c r="D696" t="s">
        <v>74</v>
      </c>
      <c r="E696" t="s">
        <v>74</v>
      </c>
      <c r="F696" t="s">
        <v>10784</v>
      </c>
      <c r="G696" t="s">
        <v>74</v>
      </c>
      <c r="H696" t="s">
        <v>74</v>
      </c>
      <c r="I696" t="s">
        <v>10785</v>
      </c>
      <c r="J696" t="s">
        <v>8800</v>
      </c>
      <c r="K696" t="s">
        <v>74</v>
      </c>
      <c r="L696" t="s">
        <v>74</v>
      </c>
      <c r="M696" t="s">
        <v>77</v>
      </c>
      <c r="N696" t="s">
        <v>78</v>
      </c>
      <c r="O696" t="s">
        <v>74</v>
      </c>
      <c r="P696" t="s">
        <v>74</v>
      </c>
      <c r="Q696" t="s">
        <v>74</v>
      </c>
      <c r="R696" t="s">
        <v>74</v>
      </c>
      <c r="S696" t="s">
        <v>74</v>
      </c>
      <c r="T696" t="s">
        <v>74</v>
      </c>
      <c r="U696" t="s">
        <v>10786</v>
      </c>
      <c r="V696" t="s">
        <v>10787</v>
      </c>
      <c r="W696" t="s">
        <v>10788</v>
      </c>
      <c r="X696" t="s">
        <v>10789</v>
      </c>
      <c r="Y696" t="s">
        <v>10790</v>
      </c>
      <c r="Z696" t="s">
        <v>10791</v>
      </c>
      <c r="AA696" t="s">
        <v>74</v>
      </c>
      <c r="AB696" t="s">
        <v>74</v>
      </c>
      <c r="AC696" t="s">
        <v>74</v>
      </c>
      <c r="AD696" t="s">
        <v>74</v>
      </c>
      <c r="AE696" t="s">
        <v>74</v>
      </c>
      <c r="AF696" t="s">
        <v>74</v>
      </c>
      <c r="AG696">
        <v>51</v>
      </c>
      <c r="AH696">
        <v>7</v>
      </c>
      <c r="AI696">
        <v>8</v>
      </c>
      <c r="AJ696">
        <v>0</v>
      </c>
      <c r="AK696">
        <v>8</v>
      </c>
      <c r="AL696" t="s">
        <v>6583</v>
      </c>
      <c r="AM696" t="s">
        <v>6584</v>
      </c>
      <c r="AN696" t="s">
        <v>6585</v>
      </c>
      <c r="AO696" t="s">
        <v>8807</v>
      </c>
      <c r="AP696" t="s">
        <v>8808</v>
      </c>
      <c r="AQ696" t="s">
        <v>74</v>
      </c>
      <c r="AR696" t="s">
        <v>8809</v>
      </c>
      <c r="AS696" t="s">
        <v>8810</v>
      </c>
      <c r="AT696" t="s">
        <v>10767</v>
      </c>
      <c r="AU696">
        <v>2005</v>
      </c>
      <c r="AV696">
        <v>18</v>
      </c>
      <c r="AW696">
        <v>18</v>
      </c>
      <c r="AX696" t="s">
        <v>74</v>
      </c>
      <c r="AY696" t="s">
        <v>74</v>
      </c>
      <c r="AZ696" t="s">
        <v>74</v>
      </c>
      <c r="BA696" t="s">
        <v>74</v>
      </c>
      <c r="BB696">
        <v>3840</v>
      </c>
      <c r="BC696">
        <v>3855</v>
      </c>
      <c r="BD696" t="s">
        <v>74</v>
      </c>
      <c r="BE696" t="s">
        <v>10792</v>
      </c>
      <c r="BF696" t="str">
        <f>HYPERLINK("http://dx.doi.org/10.1175/JCLI3484.1","http://dx.doi.org/10.1175/JCLI3484.1")</f>
        <v>http://dx.doi.org/10.1175/JCLI3484.1</v>
      </c>
      <c r="BG696" t="s">
        <v>74</v>
      </c>
      <c r="BH696" t="s">
        <v>74</v>
      </c>
      <c r="BI696">
        <v>16</v>
      </c>
      <c r="BJ696" t="s">
        <v>2033</v>
      </c>
      <c r="BK696" t="s">
        <v>98</v>
      </c>
      <c r="BL696" t="s">
        <v>2033</v>
      </c>
      <c r="BM696" t="s">
        <v>10782</v>
      </c>
      <c r="BN696" t="s">
        <v>74</v>
      </c>
      <c r="BO696" t="s">
        <v>1900</v>
      </c>
      <c r="BP696" t="s">
        <v>74</v>
      </c>
      <c r="BQ696" t="s">
        <v>74</v>
      </c>
      <c r="BR696" t="s">
        <v>101</v>
      </c>
      <c r="BS696" t="s">
        <v>10793</v>
      </c>
      <c r="BT696" t="str">
        <f>HYPERLINK("https%3A%2F%2Fwww.webofscience.com%2Fwos%2Fwoscc%2Ffull-record%2FWOS:000232635600009","View Full Record in Web of Science")</f>
        <v>View Full Record in Web of Science</v>
      </c>
    </row>
    <row r="697" spans="1:72" x14ac:dyDescent="0.15">
      <c r="A697" t="s">
        <v>72</v>
      </c>
      <c r="B697" t="s">
        <v>10794</v>
      </c>
      <c r="C697" t="s">
        <v>74</v>
      </c>
      <c r="D697" t="s">
        <v>74</v>
      </c>
      <c r="E697" t="s">
        <v>74</v>
      </c>
      <c r="F697" t="s">
        <v>10794</v>
      </c>
      <c r="G697" t="s">
        <v>74</v>
      </c>
      <c r="H697" t="s">
        <v>74</v>
      </c>
      <c r="I697" t="s">
        <v>10795</v>
      </c>
      <c r="J697" t="s">
        <v>6667</v>
      </c>
      <c r="K697" t="s">
        <v>74</v>
      </c>
      <c r="L697" t="s">
        <v>74</v>
      </c>
      <c r="M697" t="s">
        <v>77</v>
      </c>
      <c r="N697" t="s">
        <v>289</v>
      </c>
      <c r="O697" t="s">
        <v>74</v>
      </c>
      <c r="P697" t="s">
        <v>74</v>
      </c>
      <c r="Q697" t="s">
        <v>74</v>
      </c>
      <c r="R697" t="s">
        <v>74</v>
      </c>
      <c r="S697" t="s">
        <v>74</v>
      </c>
      <c r="T697" t="s">
        <v>74</v>
      </c>
      <c r="U697" t="s">
        <v>10796</v>
      </c>
      <c r="V697" t="s">
        <v>10797</v>
      </c>
      <c r="W697" t="s">
        <v>10798</v>
      </c>
      <c r="X697" t="s">
        <v>10799</v>
      </c>
      <c r="Y697" t="s">
        <v>9698</v>
      </c>
      <c r="Z697" t="s">
        <v>10800</v>
      </c>
      <c r="AA697" t="s">
        <v>74</v>
      </c>
      <c r="AB697" t="s">
        <v>74</v>
      </c>
      <c r="AC697" t="s">
        <v>74</v>
      </c>
      <c r="AD697" t="s">
        <v>74</v>
      </c>
      <c r="AE697" t="s">
        <v>74</v>
      </c>
      <c r="AF697" t="s">
        <v>74</v>
      </c>
      <c r="AG697">
        <v>62</v>
      </c>
      <c r="AH697">
        <v>361</v>
      </c>
      <c r="AI697">
        <v>405</v>
      </c>
      <c r="AJ697">
        <v>10</v>
      </c>
      <c r="AK697">
        <v>220</v>
      </c>
      <c r="AL697" t="s">
        <v>6669</v>
      </c>
      <c r="AM697" t="s">
        <v>1055</v>
      </c>
      <c r="AN697" t="s">
        <v>6670</v>
      </c>
      <c r="AO697" t="s">
        <v>6671</v>
      </c>
      <c r="AP697" t="s">
        <v>6672</v>
      </c>
      <c r="AQ697" t="s">
        <v>74</v>
      </c>
      <c r="AR697" t="s">
        <v>6667</v>
      </c>
      <c r="AS697" t="s">
        <v>6673</v>
      </c>
      <c r="AT697" t="s">
        <v>10767</v>
      </c>
      <c r="AU697">
        <v>2005</v>
      </c>
      <c r="AV697">
        <v>437</v>
      </c>
      <c r="AW697">
        <v>7057</v>
      </c>
      <c r="AX697" t="s">
        <v>74</v>
      </c>
      <c r="AY697" t="s">
        <v>74</v>
      </c>
      <c r="AZ697" t="s">
        <v>74</v>
      </c>
      <c r="BA697" t="s">
        <v>74</v>
      </c>
      <c r="BB697">
        <v>362</v>
      </c>
      <c r="BC697">
        <v>368</v>
      </c>
      <c r="BD697" t="s">
        <v>74</v>
      </c>
      <c r="BE697" t="s">
        <v>10801</v>
      </c>
      <c r="BF697" t="str">
        <f>HYPERLINK("http://dx.doi.org/10.1038/nature04161","http://dx.doi.org/10.1038/nature04161")</f>
        <v>http://dx.doi.org/10.1038/nature04161</v>
      </c>
      <c r="BG697" t="s">
        <v>74</v>
      </c>
      <c r="BH697" t="s">
        <v>74</v>
      </c>
      <c r="BI697">
        <v>7</v>
      </c>
      <c r="BJ697" t="s">
        <v>3495</v>
      </c>
      <c r="BK697" t="s">
        <v>98</v>
      </c>
      <c r="BL697" t="s">
        <v>3496</v>
      </c>
      <c r="BM697" t="s">
        <v>10802</v>
      </c>
      <c r="BN697">
        <v>16163347</v>
      </c>
      <c r="BO697" t="s">
        <v>74</v>
      </c>
      <c r="BP697" t="s">
        <v>74</v>
      </c>
      <c r="BQ697" t="s">
        <v>74</v>
      </c>
      <c r="BR697" t="s">
        <v>101</v>
      </c>
      <c r="BS697" t="s">
        <v>10803</v>
      </c>
      <c r="BT697" t="str">
        <f>HYPERLINK("https%3A%2F%2Fwww.webofscience.com%2Fwos%2Fwoscc%2Ffull-record%2FWOS:000231849100043","View Full Record in Web of Science")</f>
        <v>View Full Record in Web of Science</v>
      </c>
    </row>
    <row r="698" spans="1:72" x14ac:dyDescent="0.15">
      <c r="A698" t="s">
        <v>72</v>
      </c>
      <c r="B698" t="s">
        <v>10804</v>
      </c>
      <c r="C698" t="s">
        <v>74</v>
      </c>
      <c r="D698" t="s">
        <v>74</v>
      </c>
      <c r="E698" t="s">
        <v>74</v>
      </c>
      <c r="F698" t="s">
        <v>10804</v>
      </c>
      <c r="G698" t="s">
        <v>74</v>
      </c>
      <c r="H698" t="s">
        <v>74</v>
      </c>
      <c r="I698" t="s">
        <v>10805</v>
      </c>
      <c r="J698" t="s">
        <v>5251</v>
      </c>
      <c r="K698" t="s">
        <v>74</v>
      </c>
      <c r="L698" t="s">
        <v>74</v>
      </c>
      <c r="M698" t="s">
        <v>77</v>
      </c>
      <c r="N698" t="s">
        <v>78</v>
      </c>
      <c r="O698" t="s">
        <v>74</v>
      </c>
      <c r="P698" t="s">
        <v>74</v>
      </c>
      <c r="Q698" t="s">
        <v>74</v>
      </c>
      <c r="R698" t="s">
        <v>74</v>
      </c>
      <c r="S698" t="s">
        <v>74</v>
      </c>
      <c r="T698" t="s">
        <v>74</v>
      </c>
      <c r="U698" t="s">
        <v>10806</v>
      </c>
      <c r="V698" t="s">
        <v>10807</v>
      </c>
      <c r="W698" t="s">
        <v>10808</v>
      </c>
      <c r="X698" t="s">
        <v>10809</v>
      </c>
      <c r="Y698" t="s">
        <v>10810</v>
      </c>
      <c r="Z698" t="s">
        <v>10811</v>
      </c>
      <c r="AA698" t="s">
        <v>10812</v>
      </c>
      <c r="AB698" t="s">
        <v>10813</v>
      </c>
      <c r="AC698" t="s">
        <v>74</v>
      </c>
      <c r="AD698" t="s">
        <v>74</v>
      </c>
      <c r="AE698" t="s">
        <v>74</v>
      </c>
      <c r="AF698" t="s">
        <v>74</v>
      </c>
      <c r="AG698">
        <v>81</v>
      </c>
      <c r="AH698">
        <v>44</v>
      </c>
      <c r="AI698">
        <v>44</v>
      </c>
      <c r="AJ698">
        <v>0</v>
      </c>
      <c r="AK698">
        <v>11</v>
      </c>
      <c r="AL698" t="s">
        <v>4487</v>
      </c>
      <c r="AM698" t="s">
        <v>2541</v>
      </c>
      <c r="AN698" t="s">
        <v>4488</v>
      </c>
      <c r="AO698" t="s">
        <v>5260</v>
      </c>
      <c r="AP698" t="s">
        <v>5261</v>
      </c>
      <c r="AQ698" t="s">
        <v>74</v>
      </c>
      <c r="AR698" t="s">
        <v>5262</v>
      </c>
      <c r="AS698" t="s">
        <v>5263</v>
      </c>
      <c r="AT698" t="s">
        <v>10814</v>
      </c>
      <c r="AU698">
        <v>2005</v>
      </c>
      <c r="AV698">
        <v>110</v>
      </c>
      <c r="AW698" t="s">
        <v>10637</v>
      </c>
      <c r="AX698" t="s">
        <v>74</v>
      </c>
      <c r="AY698" t="s">
        <v>74</v>
      </c>
      <c r="AZ698" t="s">
        <v>74</v>
      </c>
      <c r="BA698" t="s">
        <v>74</v>
      </c>
      <c r="BB698" t="s">
        <v>74</v>
      </c>
      <c r="BC698" t="s">
        <v>74</v>
      </c>
      <c r="BD698" t="s">
        <v>10815</v>
      </c>
      <c r="BE698" t="s">
        <v>10816</v>
      </c>
      <c r="BF698" t="str">
        <f>HYPERLINK("http://dx.doi.org/10.1029/2004JC002633","http://dx.doi.org/10.1029/2004JC002633")</f>
        <v>http://dx.doi.org/10.1029/2004JC002633</v>
      </c>
      <c r="BG698" t="s">
        <v>74</v>
      </c>
      <c r="BH698" t="s">
        <v>74</v>
      </c>
      <c r="BI698">
        <v>20</v>
      </c>
      <c r="BJ698" t="s">
        <v>629</v>
      </c>
      <c r="BK698" t="s">
        <v>98</v>
      </c>
      <c r="BL698" t="s">
        <v>629</v>
      </c>
      <c r="BM698" t="s">
        <v>10817</v>
      </c>
      <c r="BN698" t="s">
        <v>74</v>
      </c>
      <c r="BO698" t="s">
        <v>5301</v>
      </c>
      <c r="BP698" t="s">
        <v>74</v>
      </c>
      <c r="BQ698" t="s">
        <v>74</v>
      </c>
      <c r="BR698" t="s">
        <v>101</v>
      </c>
      <c r="BS698" t="s">
        <v>10818</v>
      </c>
      <c r="BT698" t="str">
        <f>HYPERLINK("https%3A%2F%2Fwww.webofscience.com%2Fwos%2Fwoscc%2Ffull-record%2FWOS:000232111000002","View Full Record in Web of Science")</f>
        <v>View Full Record in Web of Science</v>
      </c>
    </row>
    <row r="699" spans="1:72" x14ac:dyDescent="0.15">
      <c r="A699" t="s">
        <v>72</v>
      </c>
      <c r="B699" t="s">
        <v>10819</v>
      </c>
      <c r="C699" t="s">
        <v>74</v>
      </c>
      <c r="D699" t="s">
        <v>74</v>
      </c>
      <c r="E699" t="s">
        <v>74</v>
      </c>
      <c r="F699" t="s">
        <v>10819</v>
      </c>
      <c r="G699" t="s">
        <v>74</v>
      </c>
      <c r="H699" t="s">
        <v>74</v>
      </c>
      <c r="I699" t="s">
        <v>10820</v>
      </c>
      <c r="J699" t="s">
        <v>7425</v>
      </c>
      <c r="K699" t="s">
        <v>74</v>
      </c>
      <c r="L699" t="s">
        <v>74</v>
      </c>
      <c r="M699" t="s">
        <v>77</v>
      </c>
      <c r="N699" t="s">
        <v>78</v>
      </c>
      <c r="O699" t="s">
        <v>74</v>
      </c>
      <c r="P699" t="s">
        <v>74</v>
      </c>
      <c r="Q699" t="s">
        <v>74</v>
      </c>
      <c r="R699" t="s">
        <v>74</v>
      </c>
      <c r="S699" t="s">
        <v>74</v>
      </c>
      <c r="T699" t="s">
        <v>10821</v>
      </c>
      <c r="U699" t="s">
        <v>10822</v>
      </c>
      <c r="V699" t="s">
        <v>10823</v>
      </c>
      <c r="W699" t="s">
        <v>10824</v>
      </c>
      <c r="X699" t="s">
        <v>10825</v>
      </c>
      <c r="Y699" t="s">
        <v>10826</v>
      </c>
      <c r="Z699" t="s">
        <v>10827</v>
      </c>
      <c r="AA699" t="s">
        <v>74</v>
      </c>
      <c r="AB699" t="s">
        <v>10828</v>
      </c>
      <c r="AC699" t="s">
        <v>74</v>
      </c>
      <c r="AD699" t="s">
        <v>74</v>
      </c>
      <c r="AE699" t="s">
        <v>74</v>
      </c>
      <c r="AF699" t="s">
        <v>74</v>
      </c>
      <c r="AG699">
        <v>43</v>
      </c>
      <c r="AH699">
        <v>41</v>
      </c>
      <c r="AI699">
        <v>44</v>
      </c>
      <c r="AJ699">
        <v>0</v>
      </c>
      <c r="AK699">
        <v>20</v>
      </c>
      <c r="AL699" t="s">
        <v>4487</v>
      </c>
      <c r="AM699" t="s">
        <v>2541</v>
      </c>
      <c r="AN699" t="s">
        <v>4488</v>
      </c>
      <c r="AO699" t="s">
        <v>7435</v>
      </c>
      <c r="AP699" t="s">
        <v>74</v>
      </c>
      <c r="AQ699" t="s">
        <v>74</v>
      </c>
      <c r="AR699" t="s">
        <v>7436</v>
      </c>
      <c r="AS699" t="s">
        <v>7437</v>
      </c>
      <c r="AT699" t="s">
        <v>10829</v>
      </c>
      <c r="AU699">
        <v>2005</v>
      </c>
      <c r="AV699">
        <v>6</v>
      </c>
      <c r="AW699" t="s">
        <v>74</v>
      </c>
      <c r="AX699" t="s">
        <v>74</v>
      </c>
      <c r="AY699" t="s">
        <v>74</v>
      </c>
      <c r="AZ699" t="s">
        <v>74</v>
      </c>
      <c r="BA699" t="s">
        <v>74</v>
      </c>
      <c r="BB699" t="s">
        <v>74</v>
      </c>
      <c r="BC699" t="s">
        <v>74</v>
      </c>
      <c r="BD699" t="s">
        <v>10830</v>
      </c>
      <c r="BE699" t="s">
        <v>10831</v>
      </c>
      <c r="BF699" t="str">
        <f>HYPERLINK("http://dx.doi.org/10.1029/2004GC000908","http://dx.doi.org/10.1029/2004GC000908")</f>
        <v>http://dx.doi.org/10.1029/2004GC000908</v>
      </c>
      <c r="BG699" t="s">
        <v>74</v>
      </c>
      <c r="BH699" t="s">
        <v>74</v>
      </c>
      <c r="BI699">
        <v>13</v>
      </c>
      <c r="BJ699" t="s">
        <v>1348</v>
      </c>
      <c r="BK699" t="s">
        <v>98</v>
      </c>
      <c r="BL699" t="s">
        <v>1348</v>
      </c>
      <c r="BM699" t="s">
        <v>10832</v>
      </c>
      <c r="BN699" t="s">
        <v>74</v>
      </c>
      <c r="BO699" t="s">
        <v>1900</v>
      </c>
      <c r="BP699" t="s">
        <v>74</v>
      </c>
      <c r="BQ699" t="s">
        <v>74</v>
      </c>
      <c r="BR699" t="s">
        <v>101</v>
      </c>
      <c r="BS699" t="s">
        <v>10833</v>
      </c>
      <c r="BT699" t="str">
        <f>HYPERLINK("https%3A%2F%2Fwww.webofscience.com%2Fwos%2Fwoscc%2Ffull-record%2FWOS:000232109700001","View Full Record in Web of Science")</f>
        <v>View Full Record in Web of Science</v>
      </c>
    </row>
    <row r="700" spans="1:72" x14ac:dyDescent="0.15">
      <c r="A700" t="s">
        <v>72</v>
      </c>
      <c r="B700" t="s">
        <v>10834</v>
      </c>
      <c r="C700" t="s">
        <v>74</v>
      </c>
      <c r="D700" t="s">
        <v>74</v>
      </c>
      <c r="E700" t="s">
        <v>74</v>
      </c>
      <c r="F700" t="s">
        <v>10834</v>
      </c>
      <c r="G700" t="s">
        <v>74</v>
      </c>
      <c r="H700" t="s">
        <v>74</v>
      </c>
      <c r="I700" t="s">
        <v>10835</v>
      </c>
      <c r="J700" t="s">
        <v>5063</v>
      </c>
      <c r="K700" t="s">
        <v>74</v>
      </c>
      <c r="L700" t="s">
        <v>74</v>
      </c>
      <c r="M700" t="s">
        <v>77</v>
      </c>
      <c r="N700" t="s">
        <v>78</v>
      </c>
      <c r="O700" t="s">
        <v>74</v>
      </c>
      <c r="P700" t="s">
        <v>74</v>
      </c>
      <c r="Q700" t="s">
        <v>74</v>
      </c>
      <c r="R700" t="s">
        <v>74</v>
      </c>
      <c r="S700" t="s">
        <v>74</v>
      </c>
      <c r="T700" t="s">
        <v>74</v>
      </c>
      <c r="U700" t="s">
        <v>10836</v>
      </c>
      <c r="V700" t="s">
        <v>10837</v>
      </c>
      <c r="W700" t="s">
        <v>10838</v>
      </c>
      <c r="X700" t="s">
        <v>10839</v>
      </c>
      <c r="Y700" t="s">
        <v>10840</v>
      </c>
      <c r="Z700" t="s">
        <v>10841</v>
      </c>
      <c r="AA700" t="s">
        <v>10842</v>
      </c>
      <c r="AB700" t="s">
        <v>10843</v>
      </c>
      <c r="AC700" t="s">
        <v>74</v>
      </c>
      <c r="AD700" t="s">
        <v>74</v>
      </c>
      <c r="AE700" t="s">
        <v>74</v>
      </c>
      <c r="AF700" t="s">
        <v>74</v>
      </c>
      <c r="AG700">
        <v>16</v>
      </c>
      <c r="AH700">
        <v>15</v>
      </c>
      <c r="AI700">
        <v>17</v>
      </c>
      <c r="AJ700">
        <v>0</v>
      </c>
      <c r="AK700">
        <v>7</v>
      </c>
      <c r="AL700" t="s">
        <v>4487</v>
      </c>
      <c r="AM700" t="s">
        <v>2541</v>
      </c>
      <c r="AN700" t="s">
        <v>4488</v>
      </c>
      <c r="AO700" t="s">
        <v>5072</v>
      </c>
      <c r="AP700" t="s">
        <v>5073</v>
      </c>
      <c r="AQ700" t="s">
        <v>74</v>
      </c>
      <c r="AR700" t="s">
        <v>5074</v>
      </c>
      <c r="AS700" t="s">
        <v>5075</v>
      </c>
      <c r="AT700" t="s">
        <v>10829</v>
      </c>
      <c r="AU700">
        <v>2005</v>
      </c>
      <c r="AV700">
        <v>110</v>
      </c>
      <c r="AW700" t="s">
        <v>10844</v>
      </c>
      <c r="AX700" t="s">
        <v>74</v>
      </c>
      <c r="AY700" t="s">
        <v>74</v>
      </c>
      <c r="AZ700" t="s">
        <v>74</v>
      </c>
      <c r="BA700" t="s">
        <v>74</v>
      </c>
      <c r="BB700" t="s">
        <v>74</v>
      </c>
      <c r="BC700" t="s">
        <v>74</v>
      </c>
      <c r="BD700" t="s">
        <v>10845</v>
      </c>
      <c r="BE700" t="s">
        <v>10846</v>
      </c>
      <c r="BF700" t="str">
        <f>HYPERLINK("http://dx.doi.org/10.1029/2004JD005717","http://dx.doi.org/10.1029/2004JD005717")</f>
        <v>http://dx.doi.org/10.1029/2004JD005717</v>
      </c>
      <c r="BG700" t="s">
        <v>74</v>
      </c>
      <c r="BH700" t="s">
        <v>74</v>
      </c>
      <c r="BI700">
        <v>7</v>
      </c>
      <c r="BJ700" t="s">
        <v>2033</v>
      </c>
      <c r="BK700" t="s">
        <v>98</v>
      </c>
      <c r="BL700" t="s">
        <v>2033</v>
      </c>
      <c r="BM700" t="s">
        <v>10847</v>
      </c>
      <c r="BN700" t="s">
        <v>74</v>
      </c>
      <c r="BO700" t="s">
        <v>10848</v>
      </c>
      <c r="BP700" t="s">
        <v>74</v>
      </c>
      <c r="BQ700" t="s">
        <v>74</v>
      </c>
      <c r="BR700" t="s">
        <v>101</v>
      </c>
      <c r="BS700" t="s">
        <v>10849</v>
      </c>
      <c r="BT700" t="str">
        <f>HYPERLINK("https%3A%2F%2Fwww.webofscience.com%2Fwos%2Fwoscc%2Ffull-record%2FWOS:000232110800003","View Full Record in Web of Science")</f>
        <v>View Full Record in Web of Science</v>
      </c>
    </row>
    <row r="701" spans="1:72" x14ac:dyDescent="0.15">
      <c r="A701" t="s">
        <v>72</v>
      </c>
      <c r="B701" t="s">
        <v>10850</v>
      </c>
      <c r="C701" t="s">
        <v>74</v>
      </c>
      <c r="D701" t="s">
        <v>74</v>
      </c>
      <c r="E701" t="s">
        <v>74</v>
      </c>
      <c r="F701" t="s">
        <v>10850</v>
      </c>
      <c r="G701" t="s">
        <v>74</v>
      </c>
      <c r="H701" t="s">
        <v>74</v>
      </c>
      <c r="I701" t="s">
        <v>10851</v>
      </c>
      <c r="J701" t="s">
        <v>5134</v>
      </c>
      <c r="K701" t="s">
        <v>74</v>
      </c>
      <c r="L701" t="s">
        <v>74</v>
      </c>
      <c r="M701" t="s">
        <v>77</v>
      </c>
      <c r="N701" t="s">
        <v>78</v>
      </c>
      <c r="O701" t="s">
        <v>74</v>
      </c>
      <c r="P701" t="s">
        <v>74</v>
      </c>
      <c r="Q701" t="s">
        <v>74</v>
      </c>
      <c r="R701" t="s">
        <v>74</v>
      </c>
      <c r="S701" t="s">
        <v>74</v>
      </c>
      <c r="T701" t="s">
        <v>74</v>
      </c>
      <c r="U701" t="s">
        <v>10852</v>
      </c>
      <c r="V701" t="s">
        <v>10853</v>
      </c>
      <c r="W701" t="s">
        <v>10854</v>
      </c>
      <c r="X701" t="s">
        <v>10855</v>
      </c>
      <c r="Y701" t="s">
        <v>10856</v>
      </c>
      <c r="Z701" t="s">
        <v>10857</v>
      </c>
      <c r="AA701" t="s">
        <v>10858</v>
      </c>
      <c r="AB701" t="s">
        <v>10859</v>
      </c>
      <c r="AC701" t="s">
        <v>74</v>
      </c>
      <c r="AD701" t="s">
        <v>74</v>
      </c>
      <c r="AE701" t="s">
        <v>74</v>
      </c>
      <c r="AF701" t="s">
        <v>74</v>
      </c>
      <c r="AG701">
        <v>20</v>
      </c>
      <c r="AH701">
        <v>30</v>
      </c>
      <c r="AI701">
        <v>35</v>
      </c>
      <c r="AJ701">
        <v>0</v>
      </c>
      <c r="AK701">
        <v>9</v>
      </c>
      <c r="AL701" t="s">
        <v>4487</v>
      </c>
      <c r="AM701" t="s">
        <v>2541</v>
      </c>
      <c r="AN701" t="s">
        <v>4488</v>
      </c>
      <c r="AO701" t="s">
        <v>5142</v>
      </c>
      <c r="AP701" t="s">
        <v>5143</v>
      </c>
      <c r="AQ701" t="s">
        <v>74</v>
      </c>
      <c r="AR701" t="s">
        <v>5144</v>
      </c>
      <c r="AS701" t="s">
        <v>5145</v>
      </c>
      <c r="AT701" t="s">
        <v>10860</v>
      </c>
      <c r="AU701">
        <v>2005</v>
      </c>
      <c r="AV701">
        <v>32</v>
      </c>
      <c r="AW701">
        <v>17</v>
      </c>
      <c r="AX701" t="s">
        <v>74</v>
      </c>
      <c r="AY701" t="s">
        <v>74</v>
      </c>
      <c r="AZ701" t="s">
        <v>74</v>
      </c>
      <c r="BA701" t="s">
        <v>74</v>
      </c>
      <c r="BB701" t="s">
        <v>74</v>
      </c>
      <c r="BC701" t="s">
        <v>74</v>
      </c>
      <c r="BD701" t="s">
        <v>10861</v>
      </c>
      <c r="BE701" t="s">
        <v>10862</v>
      </c>
      <c r="BF701" t="str">
        <f>HYPERLINK("http://dx.doi.org/10.1029/2005GL023844","http://dx.doi.org/10.1029/2005GL023844")</f>
        <v>http://dx.doi.org/10.1029/2005GL023844</v>
      </c>
      <c r="BG701" t="s">
        <v>74</v>
      </c>
      <c r="BH701" t="s">
        <v>74</v>
      </c>
      <c r="BI701">
        <v>4</v>
      </c>
      <c r="BJ701" t="s">
        <v>1129</v>
      </c>
      <c r="BK701" t="s">
        <v>98</v>
      </c>
      <c r="BL701" t="s">
        <v>1130</v>
      </c>
      <c r="BM701" t="s">
        <v>10863</v>
      </c>
      <c r="BN701" t="s">
        <v>74</v>
      </c>
      <c r="BO701" t="s">
        <v>1900</v>
      </c>
      <c r="BP701" t="s">
        <v>74</v>
      </c>
      <c r="BQ701" t="s">
        <v>74</v>
      </c>
      <c r="BR701" t="s">
        <v>101</v>
      </c>
      <c r="BS701" t="s">
        <v>10864</v>
      </c>
      <c r="BT701" t="str">
        <f>HYPERLINK("https%3A%2F%2Fwww.webofscience.com%2Fwos%2Fwoscc%2Ffull-record%2FWOS:000231827600004","View Full Record in Web of Science")</f>
        <v>View Full Record in Web of Science</v>
      </c>
    </row>
    <row r="702" spans="1:72" x14ac:dyDescent="0.15">
      <c r="A702" t="s">
        <v>72</v>
      </c>
      <c r="B702" t="s">
        <v>10865</v>
      </c>
      <c r="C702" t="s">
        <v>74</v>
      </c>
      <c r="D702" t="s">
        <v>74</v>
      </c>
      <c r="E702" t="s">
        <v>74</v>
      </c>
      <c r="F702" t="s">
        <v>10865</v>
      </c>
      <c r="G702" t="s">
        <v>74</v>
      </c>
      <c r="H702" t="s">
        <v>74</v>
      </c>
      <c r="I702" t="s">
        <v>10866</v>
      </c>
      <c r="J702" t="s">
        <v>5134</v>
      </c>
      <c r="K702" t="s">
        <v>74</v>
      </c>
      <c r="L702" t="s">
        <v>74</v>
      </c>
      <c r="M702" t="s">
        <v>77</v>
      </c>
      <c r="N702" t="s">
        <v>78</v>
      </c>
      <c r="O702" t="s">
        <v>74</v>
      </c>
      <c r="P702" t="s">
        <v>74</v>
      </c>
      <c r="Q702" t="s">
        <v>74</v>
      </c>
      <c r="R702" t="s">
        <v>74</v>
      </c>
      <c r="S702" t="s">
        <v>74</v>
      </c>
      <c r="T702" t="s">
        <v>74</v>
      </c>
      <c r="U702" t="s">
        <v>10867</v>
      </c>
      <c r="V702" t="s">
        <v>10868</v>
      </c>
      <c r="W702" t="s">
        <v>10869</v>
      </c>
      <c r="X702" t="s">
        <v>10870</v>
      </c>
      <c r="Y702" t="s">
        <v>10871</v>
      </c>
      <c r="Z702" t="s">
        <v>10872</v>
      </c>
      <c r="AA702" t="s">
        <v>10873</v>
      </c>
      <c r="AB702" t="s">
        <v>10874</v>
      </c>
      <c r="AC702" t="s">
        <v>74</v>
      </c>
      <c r="AD702" t="s">
        <v>74</v>
      </c>
      <c r="AE702" t="s">
        <v>74</v>
      </c>
      <c r="AF702" t="s">
        <v>74</v>
      </c>
      <c r="AG702">
        <v>21</v>
      </c>
      <c r="AH702">
        <v>257</v>
      </c>
      <c r="AI702">
        <v>285</v>
      </c>
      <c r="AJ702">
        <v>1</v>
      </c>
      <c r="AK702">
        <v>38</v>
      </c>
      <c r="AL702" t="s">
        <v>4487</v>
      </c>
      <c r="AM702" t="s">
        <v>2541</v>
      </c>
      <c r="AN702" t="s">
        <v>4488</v>
      </c>
      <c r="AO702" t="s">
        <v>5142</v>
      </c>
      <c r="AP702" t="s">
        <v>5143</v>
      </c>
      <c r="AQ702" t="s">
        <v>74</v>
      </c>
      <c r="AR702" t="s">
        <v>5144</v>
      </c>
      <c r="AS702" t="s">
        <v>5145</v>
      </c>
      <c r="AT702" t="s">
        <v>10875</v>
      </c>
      <c r="AU702">
        <v>2005</v>
      </c>
      <c r="AV702">
        <v>32</v>
      </c>
      <c r="AW702">
        <v>17</v>
      </c>
      <c r="AX702" t="s">
        <v>74</v>
      </c>
      <c r="AY702" t="s">
        <v>74</v>
      </c>
      <c r="AZ702" t="s">
        <v>74</v>
      </c>
      <c r="BA702" t="s">
        <v>74</v>
      </c>
      <c r="BB702" t="s">
        <v>74</v>
      </c>
      <c r="BC702" t="s">
        <v>74</v>
      </c>
      <c r="BD702" t="s">
        <v>10876</v>
      </c>
      <c r="BE702" t="s">
        <v>10877</v>
      </c>
      <c r="BF702" t="str">
        <f>HYPERLINK("http://dx.doi.org/10.1029/2005GL023740","http://dx.doi.org/10.1029/2005GL023740")</f>
        <v>http://dx.doi.org/10.1029/2005GL023740</v>
      </c>
      <c r="BG702" t="s">
        <v>74</v>
      </c>
      <c r="BH702" t="s">
        <v>74</v>
      </c>
      <c r="BI702">
        <v>4</v>
      </c>
      <c r="BJ702" t="s">
        <v>1129</v>
      </c>
      <c r="BK702" t="s">
        <v>98</v>
      </c>
      <c r="BL702" t="s">
        <v>1130</v>
      </c>
      <c r="BM702" t="s">
        <v>10878</v>
      </c>
      <c r="BN702" t="s">
        <v>74</v>
      </c>
      <c r="BO702" t="s">
        <v>5959</v>
      </c>
      <c r="BP702" t="s">
        <v>74</v>
      </c>
      <c r="BQ702" t="s">
        <v>74</v>
      </c>
      <c r="BR702" t="s">
        <v>101</v>
      </c>
      <c r="BS702" t="s">
        <v>10879</v>
      </c>
      <c r="BT702" t="str">
        <f>HYPERLINK("https%3A%2F%2Fwww.webofscience.com%2Fwos%2Fwoscc%2Ffull-record%2FWOS:000231827500005","View Full Record in Web of Science")</f>
        <v>View Full Record in Web of Science</v>
      </c>
    </row>
    <row r="703" spans="1:72" x14ac:dyDescent="0.15">
      <c r="A703" t="s">
        <v>72</v>
      </c>
      <c r="B703" t="s">
        <v>10880</v>
      </c>
      <c r="C703" t="s">
        <v>74</v>
      </c>
      <c r="D703" t="s">
        <v>74</v>
      </c>
      <c r="E703" t="s">
        <v>74</v>
      </c>
      <c r="F703" t="s">
        <v>10880</v>
      </c>
      <c r="G703" t="s">
        <v>74</v>
      </c>
      <c r="H703" t="s">
        <v>74</v>
      </c>
      <c r="I703" t="s">
        <v>10881</v>
      </c>
      <c r="J703" t="s">
        <v>6088</v>
      </c>
      <c r="K703" t="s">
        <v>74</v>
      </c>
      <c r="L703" t="s">
        <v>74</v>
      </c>
      <c r="M703" t="s">
        <v>77</v>
      </c>
      <c r="N703" t="s">
        <v>78</v>
      </c>
      <c r="O703" t="s">
        <v>74</v>
      </c>
      <c r="P703" t="s">
        <v>74</v>
      </c>
      <c r="Q703" t="s">
        <v>74</v>
      </c>
      <c r="R703" t="s">
        <v>74</v>
      </c>
      <c r="S703" t="s">
        <v>74</v>
      </c>
      <c r="T703" t="s">
        <v>74</v>
      </c>
      <c r="U703" t="s">
        <v>10882</v>
      </c>
      <c r="V703" t="s">
        <v>10883</v>
      </c>
      <c r="W703" t="s">
        <v>10884</v>
      </c>
      <c r="X703" t="s">
        <v>10885</v>
      </c>
      <c r="Y703" t="s">
        <v>10886</v>
      </c>
      <c r="Z703" t="s">
        <v>10887</v>
      </c>
      <c r="AA703" t="s">
        <v>10888</v>
      </c>
      <c r="AB703" t="s">
        <v>10889</v>
      </c>
      <c r="AC703" t="s">
        <v>74</v>
      </c>
      <c r="AD703" t="s">
        <v>74</v>
      </c>
      <c r="AE703" t="s">
        <v>74</v>
      </c>
      <c r="AF703" t="s">
        <v>74</v>
      </c>
      <c r="AG703">
        <v>32</v>
      </c>
      <c r="AH703">
        <v>206</v>
      </c>
      <c r="AI703">
        <v>241</v>
      </c>
      <c r="AJ703">
        <v>1</v>
      </c>
      <c r="AK703">
        <v>99</v>
      </c>
      <c r="AL703" t="s">
        <v>7361</v>
      </c>
      <c r="AM703" t="s">
        <v>2541</v>
      </c>
      <c r="AN703" t="s">
        <v>7362</v>
      </c>
      <c r="AO703" t="s">
        <v>7363</v>
      </c>
      <c r="AP703" t="s">
        <v>7364</v>
      </c>
      <c r="AQ703" t="s">
        <v>74</v>
      </c>
      <c r="AR703" t="s">
        <v>6088</v>
      </c>
      <c r="AS703" t="s">
        <v>7365</v>
      </c>
      <c r="AT703" t="s">
        <v>10875</v>
      </c>
      <c r="AU703">
        <v>2005</v>
      </c>
      <c r="AV703">
        <v>309</v>
      </c>
      <c r="AW703">
        <v>5741</v>
      </c>
      <c r="AX703" t="s">
        <v>74</v>
      </c>
      <c r="AY703" t="s">
        <v>74</v>
      </c>
      <c r="AZ703" t="s">
        <v>74</v>
      </c>
      <c r="BA703" t="s">
        <v>74</v>
      </c>
      <c r="BB703">
        <v>1714</v>
      </c>
      <c r="BC703">
        <v>1717</v>
      </c>
      <c r="BD703" t="s">
        <v>74</v>
      </c>
      <c r="BE703" t="s">
        <v>10890</v>
      </c>
      <c r="BF703" t="str">
        <f>HYPERLINK("http://dx.doi.org/10.1126/science.1115193","http://dx.doi.org/10.1126/science.1115193")</f>
        <v>http://dx.doi.org/10.1126/science.1115193</v>
      </c>
      <c r="BG703" t="s">
        <v>74</v>
      </c>
      <c r="BH703" t="s">
        <v>74</v>
      </c>
      <c r="BI703">
        <v>4</v>
      </c>
      <c r="BJ703" t="s">
        <v>3495</v>
      </c>
      <c r="BK703" t="s">
        <v>98</v>
      </c>
      <c r="BL703" t="s">
        <v>3496</v>
      </c>
      <c r="BM703" t="s">
        <v>10891</v>
      </c>
      <c r="BN703">
        <v>16151008</v>
      </c>
      <c r="BO703" t="s">
        <v>74</v>
      </c>
      <c r="BP703" t="s">
        <v>74</v>
      </c>
      <c r="BQ703" t="s">
        <v>74</v>
      </c>
      <c r="BR703" t="s">
        <v>101</v>
      </c>
      <c r="BS703" t="s">
        <v>10892</v>
      </c>
      <c r="BT703" t="str">
        <f>HYPERLINK("https%3A%2F%2Fwww.webofscience.com%2Fwos%2Fwoscc%2Ffull-record%2FWOS:000231836700041","View Full Record in Web of Science")</f>
        <v>View Full Record in Web of Science</v>
      </c>
    </row>
    <row r="704" spans="1:72" x14ac:dyDescent="0.15">
      <c r="A704" t="s">
        <v>72</v>
      </c>
      <c r="B704" t="s">
        <v>10893</v>
      </c>
      <c r="C704" t="s">
        <v>74</v>
      </c>
      <c r="D704" t="s">
        <v>74</v>
      </c>
      <c r="E704" t="s">
        <v>74</v>
      </c>
      <c r="F704" t="s">
        <v>10893</v>
      </c>
      <c r="G704" t="s">
        <v>74</v>
      </c>
      <c r="H704" t="s">
        <v>74</v>
      </c>
      <c r="I704" t="s">
        <v>10894</v>
      </c>
      <c r="J704" t="s">
        <v>5251</v>
      </c>
      <c r="K704" t="s">
        <v>74</v>
      </c>
      <c r="L704" t="s">
        <v>74</v>
      </c>
      <c r="M704" t="s">
        <v>77</v>
      </c>
      <c r="N704" t="s">
        <v>78</v>
      </c>
      <c r="O704" t="s">
        <v>74</v>
      </c>
      <c r="P704" t="s">
        <v>74</v>
      </c>
      <c r="Q704" t="s">
        <v>74</v>
      </c>
      <c r="R704" t="s">
        <v>74</v>
      </c>
      <c r="S704" t="s">
        <v>74</v>
      </c>
      <c r="T704" t="s">
        <v>74</v>
      </c>
      <c r="U704" t="s">
        <v>10895</v>
      </c>
      <c r="V704" t="s">
        <v>10896</v>
      </c>
      <c r="W704" t="s">
        <v>10897</v>
      </c>
      <c r="X704" t="s">
        <v>10898</v>
      </c>
      <c r="Y704" t="s">
        <v>10899</v>
      </c>
      <c r="Z704" t="s">
        <v>10900</v>
      </c>
      <c r="AA704" t="s">
        <v>10901</v>
      </c>
      <c r="AB704" t="s">
        <v>10902</v>
      </c>
      <c r="AC704" t="s">
        <v>74</v>
      </c>
      <c r="AD704" t="s">
        <v>74</v>
      </c>
      <c r="AE704" t="s">
        <v>74</v>
      </c>
      <c r="AF704" t="s">
        <v>74</v>
      </c>
      <c r="AG704">
        <v>26</v>
      </c>
      <c r="AH704">
        <v>26</v>
      </c>
      <c r="AI704">
        <v>36</v>
      </c>
      <c r="AJ704">
        <v>2</v>
      </c>
      <c r="AK704">
        <v>11</v>
      </c>
      <c r="AL704" t="s">
        <v>4487</v>
      </c>
      <c r="AM704" t="s">
        <v>2541</v>
      </c>
      <c r="AN704" t="s">
        <v>4488</v>
      </c>
      <c r="AO704" t="s">
        <v>5260</v>
      </c>
      <c r="AP704" t="s">
        <v>5261</v>
      </c>
      <c r="AQ704" t="s">
        <v>74</v>
      </c>
      <c r="AR704" t="s">
        <v>5262</v>
      </c>
      <c r="AS704" t="s">
        <v>5263</v>
      </c>
      <c r="AT704" t="s">
        <v>10903</v>
      </c>
      <c r="AU704">
        <v>2005</v>
      </c>
      <c r="AV704">
        <v>110</v>
      </c>
      <c r="AW704" t="s">
        <v>10637</v>
      </c>
      <c r="AX704" t="s">
        <v>74</v>
      </c>
      <c r="AY704" t="s">
        <v>74</v>
      </c>
      <c r="AZ704" t="s">
        <v>74</v>
      </c>
      <c r="BA704" t="s">
        <v>74</v>
      </c>
      <c r="BB704" t="s">
        <v>74</v>
      </c>
      <c r="BC704" t="s">
        <v>74</v>
      </c>
      <c r="BD704" t="s">
        <v>10904</v>
      </c>
      <c r="BE704" t="s">
        <v>10905</v>
      </c>
      <c r="BF704" t="str">
        <f>HYPERLINK("http://dx.doi.org/10.1029/2004JC002619","http://dx.doi.org/10.1029/2004JC002619")</f>
        <v>http://dx.doi.org/10.1029/2004JC002619</v>
      </c>
      <c r="BG704" t="s">
        <v>74</v>
      </c>
      <c r="BH704" t="s">
        <v>74</v>
      </c>
      <c r="BI704">
        <v>17</v>
      </c>
      <c r="BJ704" t="s">
        <v>629</v>
      </c>
      <c r="BK704" t="s">
        <v>98</v>
      </c>
      <c r="BL704" t="s">
        <v>629</v>
      </c>
      <c r="BM704" t="s">
        <v>10906</v>
      </c>
      <c r="BN704" t="s">
        <v>74</v>
      </c>
      <c r="BO704" t="s">
        <v>5301</v>
      </c>
      <c r="BP704" t="s">
        <v>74</v>
      </c>
      <c r="BQ704" t="s">
        <v>74</v>
      </c>
      <c r="BR704" t="s">
        <v>101</v>
      </c>
      <c r="BS704" t="s">
        <v>10907</v>
      </c>
      <c r="BT704" t="str">
        <f>HYPERLINK("https%3A%2F%2Fwww.webofscience.com%2Fwos%2Fwoscc%2Ffull-record%2FWOS:000231828400001","View Full Record in Web of Science")</f>
        <v>View Full Record in Web of Science</v>
      </c>
    </row>
    <row r="705" spans="1:72" x14ac:dyDescent="0.15">
      <c r="A705" t="s">
        <v>72</v>
      </c>
      <c r="B705" t="s">
        <v>10908</v>
      </c>
      <c r="C705" t="s">
        <v>74</v>
      </c>
      <c r="D705" t="s">
        <v>74</v>
      </c>
      <c r="E705" t="s">
        <v>74</v>
      </c>
      <c r="F705" t="s">
        <v>10908</v>
      </c>
      <c r="G705" t="s">
        <v>74</v>
      </c>
      <c r="H705" t="s">
        <v>74</v>
      </c>
      <c r="I705" t="s">
        <v>10909</v>
      </c>
      <c r="J705" t="s">
        <v>6667</v>
      </c>
      <c r="K705" t="s">
        <v>74</v>
      </c>
      <c r="L705" t="s">
        <v>74</v>
      </c>
      <c r="M705" t="s">
        <v>77</v>
      </c>
      <c r="N705" t="s">
        <v>78</v>
      </c>
      <c r="O705" t="s">
        <v>74</v>
      </c>
      <c r="P705" t="s">
        <v>74</v>
      </c>
      <c r="Q705" t="s">
        <v>74</v>
      </c>
      <c r="R705" t="s">
        <v>74</v>
      </c>
      <c r="S705" t="s">
        <v>74</v>
      </c>
      <c r="T705" t="s">
        <v>74</v>
      </c>
      <c r="U705" t="s">
        <v>10910</v>
      </c>
      <c r="V705" t="s">
        <v>10911</v>
      </c>
      <c r="W705" t="s">
        <v>10912</v>
      </c>
      <c r="X705" t="s">
        <v>10913</v>
      </c>
      <c r="Y705" t="s">
        <v>5068</v>
      </c>
      <c r="Z705" t="s">
        <v>10914</v>
      </c>
      <c r="AA705" t="s">
        <v>10915</v>
      </c>
      <c r="AB705" t="s">
        <v>10916</v>
      </c>
      <c r="AC705" t="s">
        <v>74</v>
      </c>
      <c r="AD705" t="s">
        <v>74</v>
      </c>
      <c r="AE705" t="s">
        <v>74</v>
      </c>
      <c r="AF705" t="s">
        <v>74</v>
      </c>
      <c r="AG705">
        <v>22</v>
      </c>
      <c r="AH705">
        <v>488</v>
      </c>
      <c r="AI705">
        <v>514</v>
      </c>
      <c r="AJ705">
        <v>4</v>
      </c>
      <c r="AK705">
        <v>67</v>
      </c>
      <c r="AL705" t="s">
        <v>6669</v>
      </c>
      <c r="AM705" t="s">
        <v>1055</v>
      </c>
      <c r="AN705" t="s">
        <v>6670</v>
      </c>
      <c r="AO705" t="s">
        <v>6671</v>
      </c>
      <c r="AP705" t="s">
        <v>6672</v>
      </c>
      <c r="AQ705" t="s">
        <v>74</v>
      </c>
      <c r="AR705" t="s">
        <v>6667</v>
      </c>
      <c r="AS705" t="s">
        <v>6673</v>
      </c>
      <c r="AT705" t="s">
        <v>10903</v>
      </c>
      <c r="AU705">
        <v>2005</v>
      </c>
      <c r="AV705">
        <v>437</v>
      </c>
      <c r="AW705">
        <v>7056</v>
      </c>
      <c r="AX705" t="s">
        <v>74</v>
      </c>
      <c r="AY705" t="s">
        <v>74</v>
      </c>
      <c r="AZ705" t="s">
        <v>74</v>
      </c>
      <c r="BA705" t="s">
        <v>74</v>
      </c>
      <c r="BB705">
        <v>227</v>
      </c>
      <c r="BC705">
        <v>230</v>
      </c>
      <c r="BD705" t="s">
        <v>74</v>
      </c>
      <c r="BE705" t="s">
        <v>10917</v>
      </c>
      <c r="BF705" t="str">
        <f>HYPERLINK("http://dx.doi.org/10.1038/nature03939","http://dx.doi.org/10.1038/nature03939")</f>
        <v>http://dx.doi.org/10.1038/nature03939</v>
      </c>
      <c r="BG705" t="s">
        <v>74</v>
      </c>
      <c r="BH705" t="s">
        <v>74</v>
      </c>
      <c r="BI705">
        <v>4</v>
      </c>
      <c r="BJ705" t="s">
        <v>3495</v>
      </c>
      <c r="BK705" t="s">
        <v>98</v>
      </c>
      <c r="BL705" t="s">
        <v>3496</v>
      </c>
      <c r="BM705" t="s">
        <v>10918</v>
      </c>
      <c r="BN705">
        <v>16148927</v>
      </c>
      <c r="BO705" t="s">
        <v>74</v>
      </c>
      <c r="BP705" t="s">
        <v>74</v>
      </c>
      <c r="BQ705" t="s">
        <v>74</v>
      </c>
      <c r="BR705" t="s">
        <v>101</v>
      </c>
      <c r="BS705" t="s">
        <v>10919</v>
      </c>
      <c r="BT705" t="str">
        <f>HYPERLINK("https%3A%2F%2Fwww.webofscience.com%2Fwos%2Fwoscc%2Ffull-record%2FWOS:000231696900049","View Full Record in Web of Science")</f>
        <v>View Full Record in Web of Science</v>
      </c>
    </row>
    <row r="706" spans="1:72" x14ac:dyDescent="0.15">
      <c r="A706" t="s">
        <v>72</v>
      </c>
      <c r="B706" t="s">
        <v>10920</v>
      </c>
      <c r="C706" t="s">
        <v>74</v>
      </c>
      <c r="D706" t="s">
        <v>74</v>
      </c>
      <c r="E706" t="s">
        <v>74</v>
      </c>
      <c r="F706" t="s">
        <v>10921</v>
      </c>
      <c r="G706" t="s">
        <v>74</v>
      </c>
      <c r="H706" t="s">
        <v>74</v>
      </c>
      <c r="I706" t="s">
        <v>10922</v>
      </c>
      <c r="J706" t="s">
        <v>10923</v>
      </c>
      <c r="K706" t="s">
        <v>74</v>
      </c>
      <c r="L706" t="s">
        <v>74</v>
      </c>
      <c r="M706" t="s">
        <v>77</v>
      </c>
      <c r="N706" t="s">
        <v>52</v>
      </c>
      <c r="O706" t="s">
        <v>74</v>
      </c>
      <c r="P706" t="s">
        <v>74</v>
      </c>
      <c r="Q706" t="s">
        <v>74</v>
      </c>
      <c r="R706" t="s">
        <v>74</v>
      </c>
      <c r="S706" t="s">
        <v>74</v>
      </c>
      <c r="T706" t="s">
        <v>74</v>
      </c>
      <c r="U706" t="s">
        <v>74</v>
      </c>
      <c r="V706" t="s">
        <v>74</v>
      </c>
      <c r="W706" t="s">
        <v>10924</v>
      </c>
      <c r="X706" t="s">
        <v>10925</v>
      </c>
      <c r="Y706" t="s">
        <v>74</v>
      </c>
      <c r="Z706" t="s">
        <v>74</v>
      </c>
      <c r="AA706" t="s">
        <v>74</v>
      </c>
      <c r="AB706" t="s">
        <v>74</v>
      </c>
      <c r="AC706" t="s">
        <v>74</v>
      </c>
      <c r="AD706" t="s">
        <v>74</v>
      </c>
      <c r="AE706" t="s">
        <v>74</v>
      </c>
      <c r="AF706" t="s">
        <v>74</v>
      </c>
      <c r="AG706">
        <v>0</v>
      </c>
      <c r="AH706">
        <v>0</v>
      </c>
      <c r="AI706">
        <v>0</v>
      </c>
      <c r="AJ706">
        <v>0</v>
      </c>
      <c r="AK706">
        <v>0</v>
      </c>
      <c r="AL706" t="s">
        <v>10926</v>
      </c>
      <c r="AM706" t="s">
        <v>10927</v>
      </c>
      <c r="AN706" t="s">
        <v>10928</v>
      </c>
      <c r="AO706" t="s">
        <v>10929</v>
      </c>
      <c r="AP706" t="s">
        <v>74</v>
      </c>
      <c r="AQ706" t="s">
        <v>74</v>
      </c>
      <c r="AR706" t="s">
        <v>10930</v>
      </c>
      <c r="AS706" t="s">
        <v>10931</v>
      </c>
      <c r="AT706" t="s">
        <v>10932</v>
      </c>
      <c r="AU706">
        <v>2005</v>
      </c>
      <c r="AV706">
        <v>25</v>
      </c>
      <c r="AW706">
        <v>3</v>
      </c>
      <c r="AX706" t="s">
        <v>74</v>
      </c>
      <c r="AY706" t="s">
        <v>74</v>
      </c>
      <c r="AZ706" t="s">
        <v>74</v>
      </c>
      <c r="BA706" t="s">
        <v>74</v>
      </c>
      <c r="BB706" t="s">
        <v>10933</v>
      </c>
      <c r="BC706" t="s">
        <v>10933</v>
      </c>
      <c r="BD706" t="s">
        <v>74</v>
      </c>
      <c r="BE706" t="s">
        <v>74</v>
      </c>
      <c r="BF706" t="s">
        <v>74</v>
      </c>
      <c r="BG706" t="s">
        <v>74</v>
      </c>
      <c r="BH706" t="s">
        <v>74</v>
      </c>
      <c r="BI706">
        <v>1</v>
      </c>
      <c r="BJ706" t="s">
        <v>487</v>
      </c>
      <c r="BK706" t="s">
        <v>98</v>
      </c>
      <c r="BL706" t="s">
        <v>487</v>
      </c>
      <c r="BM706" t="s">
        <v>10934</v>
      </c>
      <c r="BN706" t="s">
        <v>74</v>
      </c>
      <c r="BO706" t="s">
        <v>74</v>
      </c>
      <c r="BP706" t="s">
        <v>74</v>
      </c>
      <c r="BQ706" t="s">
        <v>74</v>
      </c>
      <c r="BR706" t="s">
        <v>101</v>
      </c>
      <c r="BS706" t="s">
        <v>10935</v>
      </c>
      <c r="BT706" t="str">
        <f>HYPERLINK("https%3A%2F%2Fwww.webofscience.com%2Fwos%2Fwoscc%2Ffull-record%2FWOS:000207130900067","View Full Record in Web of Science")</f>
        <v>View Full Record in Web of Science</v>
      </c>
    </row>
    <row r="707" spans="1:72" x14ac:dyDescent="0.15">
      <c r="A707" t="s">
        <v>72</v>
      </c>
      <c r="B707" t="s">
        <v>10936</v>
      </c>
      <c r="C707" t="s">
        <v>74</v>
      </c>
      <c r="D707" t="s">
        <v>74</v>
      </c>
      <c r="E707" t="s">
        <v>74</v>
      </c>
      <c r="F707" t="s">
        <v>10936</v>
      </c>
      <c r="G707" t="s">
        <v>74</v>
      </c>
      <c r="H707" t="s">
        <v>74</v>
      </c>
      <c r="I707" t="s">
        <v>10937</v>
      </c>
      <c r="J707" t="s">
        <v>7805</v>
      </c>
      <c r="K707" t="s">
        <v>74</v>
      </c>
      <c r="L707" t="s">
        <v>74</v>
      </c>
      <c r="M707" t="s">
        <v>77</v>
      </c>
      <c r="N707" t="s">
        <v>335</v>
      </c>
      <c r="O707" t="s">
        <v>10938</v>
      </c>
      <c r="P707">
        <v>2001</v>
      </c>
      <c r="Q707" t="s">
        <v>10939</v>
      </c>
      <c r="R707" t="s">
        <v>74</v>
      </c>
      <c r="S707" t="s">
        <v>74</v>
      </c>
      <c r="T707" t="s">
        <v>10940</v>
      </c>
      <c r="U707" t="s">
        <v>10941</v>
      </c>
      <c r="V707" t="s">
        <v>10942</v>
      </c>
      <c r="W707" t="s">
        <v>10943</v>
      </c>
      <c r="X707" t="s">
        <v>10944</v>
      </c>
      <c r="Y707" t="s">
        <v>10945</v>
      </c>
      <c r="Z707" t="s">
        <v>10946</v>
      </c>
      <c r="AA707" t="s">
        <v>74</v>
      </c>
      <c r="AB707" t="s">
        <v>74</v>
      </c>
      <c r="AC707" t="s">
        <v>74</v>
      </c>
      <c r="AD707" t="s">
        <v>74</v>
      </c>
      <c r="AE707" t="s">
        <v>74</v>
      </c>
      <c r="AF707" t="s">
        <v>74</v>
      </c>
      <c r="AG707">
        <v>89</v>
      </c>
      <c r="AH707">
        <v>8</v>
      </c>
      <c r="AI707">
        <v>10</v>
      </c>
      <c r="AJ707">
        <v>0</v>
      </c>
      <c r="AK707">
        <v>3</v>
      </c>
      <c r="AL707" t="s">
        <v>3283</v>
      </c>
      <c r="AM707" t="s">
        <v>1148</v>
      </c>
      <c r="AN707" t="s">
        <v>3284</v>
      </c>
      <c r="AO707" t="s">
        <v>7816</v>
      </c>
      <c r="AP707" t="s">
        <v>7817</v>
      </c>
      <c r="AQ707" t="s">
        <v>74</v>
      </c>
      <c r="AR707" t="s">
        <v>7818</v>
      </c>
      <c r="AS707" t="s">
        <v>7819</v>
      </c>
      <c r="AT707" t="s">
        <v>10947</v>
      </c>
      <c r="AU707">
        <v>2005</v>
      </c>
      <c r="AV707">
        <v>225</v>
      </c>
      <c r="AW707" t="s">
        <v>4815</v>
      </c>
      <c r="AX707" t="s">
        <v>74</v>
      </c>
      <c r="AY707" t="s">
        <v>74</v>
      </c>
      <c r="AZ707" t="s">
        <v>74</v>
      </c>
      <c r="BA707" t="s">
        <v>74</v>
      </c>
      <c r="BB707">
        <v>302</v>
      </c>
      <c r="BC707">
        <v>316</v>
      </c>
      <c r="BD707" t="s">
        <v>74</v>
      </c>
      <c r="BE707" t="s">
        <v>10948</v>
      </c>
      <c r="BF707" t="str">
        <f>HYPERLINK("http://dx.doi.org/10.1016/j.palaeo.2005.06.016","http://dx.doi.org/10.1016/j.palaeo.2005.06.016")</f>
        <v>http://dx.doi.org/10.1016/j.palaeo.2005.06.016</v>
      </c>
      <c r="BG707" t="s">
        <v>74</v>
      </c>
      <c r="BH707" t="s">
        <v>74</v>
      </c>
      <c r="BI707">
        <v>15</v>
      </c>
      <c r="BJ707" t="s">
        <v>7821</v>
      </c>
      <c r="BK707" t="s">
        <v>1411</v>
      </c>
      <c r="BL707" t="s">
        <v>7822</v>
      </c>
      <c r="BM707" t="s">
        <v>10949</v>
      </c>
      <c r="BN707" t="s">
        <v>74</v>
      </c>
      <c r="BO707" t="s">
        <v>74</v>
      </c>
      <c r="BP707" t="s">
        <v>74</v>
      </c>
      <c r="BQ707" t="s">
        <v>74</v>
      </c>
      <c r="BR707" t="s">
        <v>101</v>
      </c>
      <c r="BS707" t="s">
        <v>10950</v>
      </c>
      <c r="BT707" t="str">
        <f>HYPERLINK("https%3A%2F%2Fwww.webofscience.com%2Fwos%2Fwoscc%2Ffull-record%2FWOS:000231922900016","View Full Record in Web of Science")</f>
        <v>View Full Record in Web of Science</v>
      </c>
    </row>
    <row r="708" spans="1:72" x14ac:dyDescent="0.15">
      <c r="A708" t="s">
        <v>72</v>
      </c>
      <c r="B708" t="s">
        <v>10951</v>
      </c>
      <c r="C708" t="s">
        <v>74</v>
      </c>
      <c r="D708" t="s">
        <v>74</v>
      </c>
      <c r="E708" t="s">
        <v>74</v>
      </c>
      <c r="F708" t="s">
        <v>10951</v>
      </c>
      <c r="G708" t="s">
        <v>74</v>
      </c>
      <c r="H708" t="s">
        <v>74</v>
      </c>
      <c r="I708" t="s">
        <v>10952</v>
      </c>
      <c r="J708" t="s">
        <v>7721</v>
      </c>
      <c r="K708" t="s">
        <v>74</v>
      </c>
      <c r="L708" t="s">
        <v>74</v>
      </c>
      <c r="M708" t="s">
        <v>77</v>
      </c>
      <c r="N708" t="s">
        <v>78</v>
      </c>
      <c r="O708" t="s">
        <v>74</v>
      </c>
      <c r="P708" t="s">
        <v>74</v>
      </c>
      <c r="Q708" t="s">
        <v>74</v>
      </c>
      <c r="R708" t="s">
        <v>74</v>
      </c>
      <c r="S708" t="s">
        <v>74</v>
      </c>
      <c r="T708" t="s">
        <v>74</v>
      </c>
      <c r="U708" t="s">
        <v>10953</v>
      </c>
      <c r="V708" t="s">
        <v>10954</v>
      </c>
      <c r="W708" t="s">
        <v>10955</v>
      </c>
      <c r="X708" t="s">
        <v>10956</v>
      </c>
      <c r="Y708" t="s">
        <v>10957</v>
      </c>
      <c r="Z708" t="s">
        <v>10958</v>
      </c>
      <c r="AA708" t="s">
        <v>10959</v>
      </c>
      <c r="AB708" t="s">
        <v>10960</v>
      </c>
      <c r="AC708" t="s">
        <v>74</v>
      </c>
      <c r="AD708" t="s">
        <v>74</v>
      </c>
      <c r="AE708" t="s">
        <v>74</v>
      </c>
      <c r="AF708" t="s">
        <v>74</v>
      </c>
      <c r="AG708">
        <v>49</v>
      </c>
      <c r="AH708">
        <v>20</v>
      </c>
      <c r="AI708">
        <v>22</v>
      </c>
      <c r="AJ708">
        <v>0</v>
      </c>
      <c r="AK708">
        <v>7</v>
      </c>
      <c r="AL708" t="s">
        <v>4487</v>
      </c>
      <c r="AM708" t="s">
        <v>2541</v>
      </c>
      <c r="AN708" t="s">
        <v>4488</v>
      </c>
      <c r="AO708" t="s">
        <v>7728</v>
      </c>
      <c r="AP708" t="s">
        <v>7729</v>
      </c>
      <c r="AQ708" t="s">
        <v>74</v>
      </c>
      <c r="AR708" t="s">
        <v>7730</v>
      </c>
      <c r="AS708" t="s">
        <v>7731</v>
      </c>
      <c r="AT708" t="s">
        <v>10961</v>
      </c>
      <c r="AU708">
        <v>2005</v>
      </c>
      <c r="AV708">
        <v>110</v>
      </c>
      <c r="AW708" t="s">
        <v>10528</v>
      </c>
      <c r="AX708" t="s">
        <v>74</v>
      </c>
      <c r="AY708" t="s">
        <v>74</v>
      </c>
      <c r="AZ708" t="s">
        <v>74</v>
      </c>
      <c r="BA708" t="s">
        <v>74</v>
      </c>
      <c r="BB708" t="s">
        <v>74</v>
      </c>
      <c r="BC708" t="s">
        <v>74</v>
      </c>
      <c r="BD708" t="s">
        <v>10962</v>
      </c>
      <c r="BE708" t="s">
        <v>10963</v>
      </c>
      <c r="BF708" t="str">
        <f>HYPERLINK("http://dx.doi.org/10.1029/2005JA011070","http://dx.doi.org/10.1029/2005JA011070")</f>
        <v>http://dx.doi.org/10.1029/2005JA011070</v>
      </c>
      <c r="BG708" t="s">
        <v>74</v>
      </c>
      <c r="BH708" t="s">
        <v>74</v>
      </c>
      <c r="BI708">
        <v>13</v>
      </c>
      <c r="BJ708" t="s">
        <v>4376</v>
      </c>
      <c r="BK708" t="s">
        <v>98</v>
      </c>
      <c r="BL708" t="s">
        <v>4376</v>
      </c>
      <c r="BM708" t="s">
        <v>10964</v>
      </c>
      <c r="BN708" t="s">
        <v>74</v>
      </c>
      <c r="BO708" t="s">
        <v>1900</v>
      </c>
      <c r="BP708" t="s">
        <v>74</v>
      </c>
      <c r="BQ708" t="s">
        <v>74</v>
      </c>
      <c r="BR708" t="s">
        <v>101</v>
      </c>
      <c r="BS708" t="s">
        <v>10965</v>
      </c>
      <c r="BT708" t="str">
        <f>HYPERLINK("https%3A%2F%2Fwww.webofscience.com%2Fwos%2Fwoscc%2Ffull-record%2FWOS:000231729400006","View Full Record in Web of Science")</f>
        <v>View Full Record in Web of Science</v>
      </c>
    </row>
    <row r="709" spans="1:72" x14ac:dyDescent="0.15">
      <c r="A709" t="s">
        <v>72</v>
      </c>
      <c r="B709" t="s">
        <v>10966</v>
      </c>
      <c r="C709" t="s">
        <v>74</v>
      </c>
      <c r="D709" t="s">
        <v>74</v>
      </c>
      <c r="E709" t="s">
        <v>74</v>
      </c>
      <c r="F709" t="s">
        <v>10966</v>
      </c>
      <c r="G709" t="s">
        <v>74</v>
      </c>
      <c r="H709" t="s">
        <v>74</v>
      </c>
      <c r="I709" t="s">
        <v>10967</v>
      </c>
      <c r="J709" t="s">
        <v>5776</v>
      </c>
      <c r="K709" t="s">
        <v>74</v>
      </c>
      <c r="L709" t="s">
        <v>74</v>
      </c>
      <c r="M709" t="s">
        <v>77</v>
      </c>
      <c r="N709" t="s">
        <v>5777</v>
      </c>
      <c r="O709" t="s">
        <v>74</v>
      </c>
      <c r="P709" t="s">
        <v>74</v>
      </c>
      <c r="Q709" t="s">
        <v>74</v>
      </c>
      <c r="R709" t="s">
        <v>74</v>
      </c>
      <c r="S709" t="s">
        <v>74</v>
      </c>
      <c r="T709" t="s">
        <v>74</v>
      </c>
      <c r="U709" t="s">
        <v>74</v>
      </c>
      <c r="V709" t="s">
        <v>74</v>
      </c>
      <c r="W709" t="s">
        <v>74</v>
      </c>
      <c r="X709" t="s">
        <v>74</v>
      </c>
      <c r="Y709" t="s">
        <v>74</v>
      </c>
      <c r="Z709" t="s">
        <v>74</v>
      </c>
      <c r="AA709" t="s">
        <v>10968</v>
      </c>
      <c r="AB709" t="s">
        <v>10969</v>
      </c>
      <c r="AC709" t="s">
        <v>74</v>
      </c>
      <c r="AD709" t="s">
        <v>74</v>
      </c>
      <c r="AE709" t="s">
        <v>74</v>
      </c>
      <c r="AF709" t="s">
        <v>74</v>
      </c>
      <c r="AG709">
        <v>0</v>
      </c>
      <c r="AH709">
        <v>0</v>
      </c>
      <c r="AI709">
        <v>0</v>
      </c>
      <c r="AJ709">
        <v>0</v>
      </c>
      <c r="AK709">
        <v>1</v>
      </c>
      <c r="AL709" t="s">
        <v>2239</v>
      </c>
      <c r="AM709" t="s">
        <v>89</v>
      </c>
      <c r="AN709" t="s">
        <v>5779</v>
      </c>
      <c r="AO709" t="s">
        <v>5780</v>
      </c>
      <c r="AP709" t="s">
        <v>74</v>
      </c>
      <c r="AQ709" t="s">
        <v>74</v>
      </c>
      <c r="AR709" t="s">
        <v>5781</v>
      </c>
      <c r="AS709" t="s">
        <v>5782</v>
      </c>
      <c r="AT709" t="s">
        <v>10970</v>
      </c>
      <c r="AU709">
        <v>2005</v>
      </c>
      <c r="AV709">
        <v>17</v>
      </c>
      <c r="AW709">
        <v>3</v>
      </c>
      <c r="AX709" t="s">
        <v>74</v>
      </c>
      <c r="AY709" t="s">
        <v>74</v>
      </c>
      <c r="AZ709" t="s">
        <v>74</v>
      </c>
      <c r="BA709" t="s">
        <v>74</v>
      </c>
      <c r="BB709">
        <v>305</v>
      </c>
      <c r="BC709">
        <v>305</v>
      </c>
      <c r="BD709" t="s">
        <v>74</v>
      </c>
      <c r="BE709" t="s">
        <v>10971</v>
      </c>
      <c r="BF709" t="str">
        <f>HYPERLINK("http://dx.doi.org/10.1017/S0954102005002725","http://dx.doi.org/10.1017/S0954102005002725")</f>
        <v>http://dx.doi.org/10.1017/S0954102005002725</v>
      </c>
      <c r="BG709" t="s">
        <v>74</v>
      </c>
      <c r="BH709" t="s">
        <v>74</v>
      </c>
      <c r="BI709">
        <v>1</v>
      </c>
      <c r="BJ709" t="s">
        <v>5784</v>
      </c>
      <c r="BK709" t="s">
        <v>98</v>
      </c>
      <c r="BL709" t="s">
        <v>5785</v>
      </c>
      <c r="BM709" t="s">
        <v>10972</v>
      </c>
      <c r="BN709" t="s">
        <v>74</v>
      </c>
      <c r="BO709" t="s">
        <v>1900</v>
      </c>
      <c r="BP709" t="s">
        <v>74</v>
      </c>
      <c r="BQ709" t="s">
        <v>74</v>
      </c>
      <c r="BR709" t="s">
        <v>101</v>
      </c>
      <c r="BS709" t="s">
        <v>10973</v>
      </c>
      <c r="BT709" t="str">
        <f>HYPERLINK("https%3A%2F%2Fwww.webofscience.com%2Fwos%2Fwoscc%2Ffull-record%2FWOS:000232321300001","View Full Record in Web of Science")</f>
        <v>View Full Record in Web of Science</v>
      </c>
    </row>
    <row r="710" spans="1:72" x14ac:dyDescent="0.15">
      <c r="A710" t="s">
        <v>72</v>
      </c>
      <c r="B710" t="s">
        <v>10974</v>
      </c>
      <c r="C710" t="s">
        <v>74</v>
      </c>
      <c r="D710" t="s">
        <v>74</v>
      </c>
      <c r="E710" t="s">
        <v>74</v>
      </c>
      <c r="F710" t="s">
        <v>10974</v>
      </c>
      <c r="G710" t="s">
        <v>74</v>
      </c>
      <c r="H710" t="s">
        <v>74</v>
      </c>
      <c r="I710" t="s">
        <v>10975</v>
      </c>
      <c r="J710" t="s">
        <v>5776</v>
      </c>
      <c r="K710" t="s">
        <v>74</v>
      </c>
      <c r="L710" t="s">
        <v>74</v>
      </c>
      <c r="M710" t="s">
        <v>77</v>
      </c>
      <c r="N710" t="s">
        <v>78</v>
      </c>
      <c r="O710" t="s">
        <v>74</v>
      </c>
      <c r="P710" t="s">
        <v>74</v>
      </c>
      <c r="Q710" t="s">
        <v>74</v>
      </c>
      <c r="R710" t="s">
        <v>74</v>
      </c>
      <c r="S710" t="s">
        <v>74</v>
      </c>
      <c r="T710" t="s">
        <v>10976</v>
      </c>
      <c r="U710" t="s">
        <v>10977</v>
      </c>
      <c r="V710" t="s">
        <v>10978</v>
      </c>
      <c r="W710" t="s">
        <v>801</v>
      </c>
      <c r="X710" t="s">
        <v>788</v>
      </c>
      <c r="Y710" t="s">
        <v>3055</v>
      </c>
      <c r="Z710" t="s">
        <v>931</v>
      </c>
      <c r="AA710" t="s">
        <v>3934</v>
      </c>
      <c r="AB710" t="s">
        <v>3935</v>
      </c>
      <c r="AC710" t="s">
        <v>74</v>
      </c>
      <c r="AD710" t="s">
        <v>74</v>
      </c>
      <c r="AE710" t="s">
        <v>74</v>
      </c>
      <c r="AF710" t="s">
        <v>74</v>
      </c>
      <c r="AG710">
        <v>25</v>
      </c>
      <c r="AH710">
        <v>6</v>
      </c>
      <c r="AI710">
        <v>6</v>
      </c>
      <c r="AJ710">
        <v>0</v>
      </c>
      <c r="AK710">
        <v>3</v>
      </c>
      <c r="AL710" t="s">
        <v>2239</v>
      </c>
      <c r="AM710" t="s">
        <v>89</v>
      </c>
      <c r="AN710" t="s">
        <v>4047</v>
      </c>
      <c r="AO710" t="s">
        <v>5780</v>
      </c>
      <c r="AP710" t="s">
        <v>5806</v>
      </c>
      <c r="AQ710" t="s">
        <v>74</v>
      </c>
      <c r="AR710" t="s">
        <v>5781</v>
      </c>
      <c r="AS710" t="s">
        <v>5782</v>
      </c>
      <c r="AT710" t="s">
        <v>10970</v>
      </c>
      <c r="AU710">
        <v>2005</v>
      </c>
      <c r="AV710">
        <v>17</v>
      </c>
      <c r="AW710">
        <v>3</v>
      </c>
      <c r="AX710" t="s">
        <v>74</v>
      </c>
      <c r="AY710" t="s">
        <v>74</v>
      </c>
      <c r="AZ710" t="s">
        <v>74</v>
      </c>
      <c r="BA710" t="s">
        <v>74</v>
      </c>
      <c r="BB710">
        <v>307</v>
      </c>
      <c r="BC710">
        <v>311</v>
      </c>
      <c r="BD710" t="s">
        <v>74</v>
      </c>
      <c r="BE710" t="s">
        <v>10979</v>
      </c>
      <c r="BF710" t="str">
        <f>HYPERLINK("http://dx.doi.org/10.1017/S0954102005002737","http://dx.doi.org/10.1017/S0954102005002737")</f>
        <v>http://dx.doi.org/10.1017/S0954102005002737</v>
      </c>
      <c r="BG710" t="s">
        <v>74</v>
      </c>
      <c r="BH710" t="s">
        <v>74</v>
      </c>
      <c r="BI710">
        <v>5</v>
      </c>
      <c r="BJ710" t="s">
        <v>5784</v>
      </c>
      <c r="BK710" t="s">
        <v>98</v>
      </c>
      <c r="BL710" t="s">
        <v>5785</v>
      </c>
      <c r="BM710" t="s">
        <v>10972</v>
      </c>
      <c r="BN710" t="s">
        <v>74</v>
      </c>
      <c r="BO710" t="s">
        <v>74</v>
      </c>
      <c r="BP710" t="s">
        <v>74</v>
      </c>
      <c r="BQ710" t="s">
        <v>74</v>
      </c>
      <c r="BR710" t="s">
        <v>101</v>
      </c>
      <c r="BS710" t="s">
        <v>10980</v>
      </c>
      <c r="BT710" t="str">
        <f>HYPERLINK("https%3A%2F%2Fwww.webofscience.com%2Fwos%2Fwoscc%2Ffull-record%2FWOS:000232321300002","View Full Record in Web of Science")</f>
        <v>View Full Record in Web of Science</v>
      </c>
    </row>
    <row r="711" spans="1:72" x14ac:dyDescent="0.15">
      <c r="A711" t="s">
        <v>72</v>
      </c>
      <c r="B711" t="s">
        <v>10981</v>
      </c>
      <c r="C711" t="s">
        <v>74</v>
      </c>
      <c r="D711" t="s">
        <v>74</v>
      </c>
      <c r="E711" t="s">
        <v>74</v>
      </c>
      <c r="F711" t="s">
        <v>10981</v>
      </c>
      <c r="G711" t="s">
        <v>74</v>
      </c>
      <c r="H711" t="s">
        <v>74</v>
      </c>
      <c r="I711" t="s">
        <v>10982</v>
      </c>
      <c r="J711" t="s">
        <v>5776</v>
      </c>
      <c r="K711" t="s">
        <v>74</v>
      </c>
      <c r="L711" t="s">
        <v>74</v>
      </c>
      <c r="M711" t="s">
        <v>77</v>
      </c>
      <c r="N711" t="s">
        <v>78</v>
      </c>
      <c r="O711" t="s">
        <v>74</v>
      </c>
      <c r="P711" t="s">
        <v>74</v>
      </c>
      <c r="Q711" t="s">
        <v>74</v>
      </c>
      <c r="R711" t="s">
        <v>74</v>
      </c>
      <c r="S711" t="s">
        <v>74</v>
      </c>
      <c r="T711" t="s">
        <v>10983</v>
      </c>
      <c r="U711" t="s">
        <v>10984</v>
      </c>
      <c r="V711" t="s">
        <v>10985</v>
      </c>
      <c r="W711" t="s">
        <v>10986</v>
      </c>
      <c r="X711" t="s">
        <v>10987</v>
      </c>
      <c r="Y711" t="s">
        <v>10988</v>
      </c>
      <c r="Z711" t="s">
        <v>10989</v>
      </c>
      <c r="AA711" t="s">
        <v>10990</v>
      </c>
      <c r="AB711" t="s">
        <v>10991</v>
      </c>
      <c r="AC711" t="s">
        <v>74</v>
      </c>
      <c r="AD711" t="s">
        <v>74</v>
      </c>
      <c r="AE711" t="s">
        <v>74</v>
      </c>
      <c r="AF711" t="s">
        <v>74</v>
      </c>
      <c r="AG711">
        <v>45</v>
      </c>
      <c r="AH711">
        <v>12</v>
      </c>
      <c r="AI711">
        <v>13</v>
      </c>
      <c r="AJ711">
        <v>0</v>
      </c>
      <c r="AK711">
        <v>4</v>
      </c>
      <c r="AL711" t="s">
        <v>2239</v>
      </c>
      <c r="AM711" t="s">
        <v>89</v>
      </c>
      <c r="AN711" t="s">
        <v>5779</v>
      </c>
      <c r="AO711" t="s">
        <v>5780</v>
      </c>
      <c r="AP711" t="s">
        <v>74</v>
      </c>
      <c r="AQ711" t="s">
        <v>74</v>
      </c>
      <c r="AR711" t="s">
        <v>5781</v>
      </c>
      <c r="AS711" t="s">
        <v>5782</v>
      </c>
      <c r="AT711" t="s">
        <v>10970</v>
      </c>
      <c r="AU711">
        <v>2005</v>
      </c>
      <c r="AV711">
        <v>17</v>
      </c>
      <c r="AW711">
        <v>3</v>
      </c>
      <c r="AX711" t="s">
        <v>74</v>
      </c>
      <c r="AY711" t="s">
        <v>74</v>
      </c>
      <c r="AZ711" t="s">
        <v>74</v>
      </c>
      <c r="BA711" t="s">
        <v>74</v>
      </c>
      <c r="BB711">
        <v>312</v>
      </c>
      <c r="BC711">
        <v>318</v>
      </c>
      <c r="BD711" t="s">
        <v>74</v>
      </c>
      <c r="BE711" t="s">
        <v>10992</v>
      </c>
      <c r="BF711" t="str">
        <f>HYPERLINK("http://dx.doi.org/10.1017/S0954102005002762","http://dx.doi.org/10.1017/S0954102005002762")</f>
        <v>http://dx.doi.org/10.1017/S0954102005002762</v>
      </c>
      <c r="BG711" t="s">
        <v>74</v>
      </c>
      <c r="BH711" t="s">
        <v>74</v>
      </c>
      <c r="BI711">
        <v>7</v>
      </c>
      <c r="BJ711" t="s">
        <v>5784</v>
      </c>
      <c r="BK711" t="s">
        <v>98</v>
      </c>
      <c r="BL711" t="s">
        <v>5785</v>
      </c>
      <c r="BM711" t="s">
        <v>10972</v>
      </c>
      <c r="BN711" t="s">
        <v>74</v>
      </c>
      <c r="BO711" t="s">
        <v>74</v>
      </c>
      <c r="BP711" t="s">
        <v>74</v>
      </c>
      <c r="BQ711" t="s">
        <v>74</v>
      </c>
      <c r="BR711" t="s">
        <v>101</v>
      </c>
      <c r="BS711" t="s">
        <v>10993</v>
      </c>
      <c r="BT711" t="str">
        <f>HYPERLINK("https%3A%2F%2Fwww.webofscience.com%2Fwos%2Fwoscc%2Ffull-record%2FWOS:000232321300003","View Full Record in Web of Science")</f>
        <v>View Full Record in Web of Science</v>
      </c>
    </row>
    <row r="712" spans="1:72" x14ac:dyDescent="0.15">
      <c r="A712" t="s">
        <v>72</v>
      </c>
      <c r="B712" t="s">
        <v>10994</v>
      </c>
      <c r="C712" t="s">
        <v>74</v>
      </c>
      <c r="D712" t="s">
        <v>74</v>
      </c>
      <c r="E712" t="s">
        <v>74</v>
      </c>
      <c r="F712" t="s">
        <v>10994</v>
      </c>
      <c r="G712" t="s">
        <v>74</v>
      </c>
      <c r="H712" t="s">
        <v>74</v>
      </c>
      <c r="I712" t="s">
        <v>10995</v>
      </c>
      <c r="J712" t="s">
        <v>5776</v>
      </c>
      <c r="K712" t="s">
        <v>74</v>
      </c>
      <c r="L712" t="s">
        <v>74</v>
      </c>
      <c r="M712" t="s">
        <v>77</v>
      </c>
      <c r="N712" t="s">
        <v>78</v>
      </c>
      <c r="O712" t="s">
        <v>74</v>
      </c>
      <c r="P712" t="s">
        <v>74</v>
      </c>
      <c r="Q712" t="s">
        <v>74</v>
      </c>
      <c r="R712" t="s">
        <v>74</v>
      </c>
      <c r="S712" t="s">
        <v>74</v>
      </c>
      <c r="T712" t="s">
        <v>10996</v>
      </c>
      <c r="U712" t="s">
        <v>10997</v>
      </c>
      <c r="V712" t="s">
        <v>10998</v>
      </c>
      <c r="W712" t="s">
        <v>10999</v>
      </c>
      <c r="X712" t="s">
        <v>11000</v>
      </c>
      <c r="Y712" t="s">
        <v>11001</v>
      </c>
      <c r="Z712" t="s">
        <v>11002</v>
      </c>
      <c r="AA712" t="s">
        <v>11003</v>
      </c>
      <c r="AB712" t="s">
        <v>11004</v>
      </c>
      <c r="AC712" t="s">
        <v>74</v>
      </c>
      <c r="AD712" t="s">
        <v>74</v>
      </c>
      <c r="AE712" t="s">
        <v>74</v>
      </c>
      <c r="AF712" t="s">
        <v>74</v>
      </c>
      <c r="AG712">
        <v>18</v>
      </c>
      <c r="AH712">
        <v>29</v>
      </c>
      <c r="AI712">
        <v>33</v>
      </c>
      <c r="AJ712">
        <v>0</v>
      </c>
      <c r="AK712">
        <v>16</v>
      </c>
      <c r="AL712" t="s">
        <v>2239</v>
      </c>
      <c r="AM712" t="s">
        <v>89</v>
      </c>
      <c r="AN712" t="s">
        <v>5779</v>
      </c>
      <c r="AO712" t="s">
        <v>5780</v>
      </c>
      <c r="AP712" t="s">
        <v>74</v>
      </c>
      <c r="AQ712" t="s">
        <v>74</v>
      </c>
      <c r="AR712" t="s">
        <v>5781</v>
      </c>
      <c r="AS712" t="s">
        <v>5782</v>
      </c>
      <c r="AT712" t="s">
        <v>10970</v>
      </c>
      <c r="AU712">
        <v>2005</v>
      </c>
      <c r="AV712">
        <v>17</v>
      </c>
      <c r="AW712">
        <v>3</v>
      </c>
      <c r="AX712" t="s">
        <v>74</v>
      </c>
      <c r="AY712" t="s">
        <v>74</v>
      </c>
      <c r="AZ712" t="s">
        <v>74</v>
      </c>
      <c r="BA712" t="s">
        <v>74</v>
      </c>
      <c r="BB712">
        <v>319</v>
      </c>
      <c r="BC712">
        <v>327</v>
      </c>
      <c r="BD712" t="s">
        <v>74</v>
      </c>
      <c r="BE712" t="s">
        <v>11005</v>
      </c>
      <c r="BF712" t="str">
        <f>HYPERLINK("http://dx.doi.org/10.1017/S0954102005002749","http://dx.doi.org/10.1017/S0954102005002749")</f>
        <v>http://dx.doi.org/10.1017/S0954102005002749</v>
      </c>
      <c r="BG712" t="s">
        <v>74</v>
      </c>
      <c r="BH712" t="s">
        <v>74</v>
      </c>
      <c r="BI712">
        <v>9</v>
      </c>
      <c r="BJ712" t="s">
        <v>5784</v>
      </c>
      <c r="BK712" t="s">
        <v>98</v>
      </c>
      <c r="BL712" t="s">
        <v>5785</v>
      </c>
      <c r="BM712" t="s">
        <v>10972</v>
      </c>
      <c r="BN712" t="s">
        <v>74</v>
      </c>
      <c r="BO712" t="s">
        <v>74</v>
      </c>
      <c r="BP712" t="s">
        <v>74</v>
      </c>
      <c r="BQ712" t="s">
        <v>74</v>
      </c>
      <c r="BR712" t="s">
        <v>101</v>
      </c>
      <c r="BS712" t="s">
        <v>11006</v>
      </c>
      <c r="BT712" t="str">
        <f>HYPERLINK("https%3A%2F%2Fwww.webofscience.com%2Fwos%2Fwoscc%2Ffull-record%2FWOS:000232321300004","View Full Record in Web of Science")</f>
        <v>View Full Record in Web of Science</v>
      </c>
    </row>
    <row r="713" spans="1:72" x14ac:dyDescent="0.15">
      <c r="A713" t="s">
        <v>72</v>
      </c>
      <c r="B713" t="s">
        <v>11007</v>
      </c>
      <c r="C713" t="s">
        <v>74</v>
      </c>
      <c r="D713" t="s">
        <v>74</v>
      </c>
      <c r="E713" t="s">
        <v>74</v>
      </c>
      <c r="F713" t="s">
        <v>11007</v>
      </c>
      <c r="G713" t="s">
        <v>74</v>
      </c>
      <c r="H713" t="s">
        <v>74</v>
      </c>
      <c r="I713" t="s">
        <v>11008</v>
      </c>
      <c r="J713" t="s">
        <v>5776</v>
      </c>
      <c r="K713" t="s">
        <v>74</v>
      </c>
      <c r="L713" t="s">
        <v>74</v>
      </c>
      <c r="M713" t="s">
        <v>77</v>
      </c>
      <c r="N713" t="s">
        <v>78</v>
      </c>
      <c r="O713" t="s">
        <v>74</v>
      </c>
      <c r="P713" t="s">
        <v>74</v>
      </c>
      <c r="Q713" t="s">
        <v>74</v>
      </c>
      <c r="R713" t="s">
        <v>74</v>
      </c>
      <c r="S713" t="s">
        <v>74</v>
      </c>
      <c r="T713" t="s">
        <v>11009</v>
      </c>
      <c r="U713" t="s">
        <v>11010</v>
      </c>
      <c r="V713" t="s">
        <v>11011</v>
      </c>
      <c r="W713" t="s">
        <v>273</v>
      </c>
      <c r="X713" t="s">
        <v>274</v>
      </c>
      <c r="Y713" t="s">
        <v>11012</v>
      </c>
      <c r="Z713" t="s">
        <v>11013</v>
      </c>
      <c r="AA713" t="s">
        <v>74</v>
      </c>
      <c r="AB713" t="s">
        <v>74</v>
      </c>
      <c r="AC713" t="s">
        <v>74</v>
      </c>
      <c r="AD713" t="s">
        <v>74</v>
      </c>
      <c r="AE713" t="s">
        <v>74</v>
      </c>
      <c r="AF713" t="s">
        <v>74</v>
      </c>
      <c r="AG713">
        <v>24</v>
      </c>
      <c r="AH713">
        <v>19</v>
      </c>
      <c r="AI713">
        <v>23</v>
      </c>
      <c r="AJ713">
        <v>0</v>
      </c>
      <c r="AK713">
        <v>14</v>
      </c>
      <c r="AL713" t="s">
        <v>2239</v>
      </c>
      <c r="AM713" t="s">
        <v>89</v>
      </c>
      <c r="AN713" t="s">
        <v>4047</v>
      </c>
      <c r="AO713" t="s">
        <v>5780</v>
      </c>
      <c r="AP713" t="s">
        <v>5806</v>
      </c>
      <c r="AQ713" t="s">
        <v>74</v>
      </c>
      <c r="AR713" t="s">
        <v>5781</v>
      </c>
      <c r="AS713" t="s">
        <v>5782</v>
      </c>
      <c r="AT713" t="s">
        <v>10970</v>
      </c>
      <c r="AU713">
        <v>2005</v>
      </c>
      <c r="AV713">
        <v>17</v>
      </c>
      <c r="AW713">
        <v>3</v>
      </c>
      <c r="AX713" t="s">
        <v>74</v>
      </c>
      <c r="AY713" t="s">
        <v>74</v>
      </c>
      <c r="AZ713" t="s">
        <v>74</v>
      </c>
      <c r="BA713" t="s">
        <v>74</v>
      </c>
      <c r="BB713">
        <v>328</v>
      </c>
      <c r="BC713">
        <v>334</v>
      </c>
      <c r="BD713" t="s">
        <v>74</v>
      </c>
      <c r="BE713" t="s">
        <v>11014</v>
      </c>
      <c r="BF713" t="str">
        <f>HYPERLINK("http://dx.doi.org/10.1017/S0954102005002798","http://dx.doi.org/10.1017/S0954102005002798")</f>
        <v>http://dx.doi.org/10.1017/S0954102005002798</v>
      </c>
      <c r="BG713" t="s">
        <v>74</v>
      </c>
      <c r="BH713" t="s">
        <v>74</v>
      </c>
      <c r="BI713">
        <v>7</v>
      </c>
      <c r="BJ713" t="s">
        <v>5784</v>
      </c>
      <c r="BK713" t="s">
        <v>98</v>
      </c>
      <c r="BL713" t="s">
        <v>5785</v>
      </c>
      <c r="BM713" t="s">
        <v>10972</v>
      </c>
      <c r="BN713" t="s">
        <v>74</v>
      </c>
      <c r="BO713" t="s">
        <v>74</v>
      </c>
      <c r="BP713" t="s">
        <v>74</v>
      </c>
      <c r="BQ713" t="s">
        <v>74</v>
      </c>
      <c r="BR713" t="s">
        <v>101</v>
      </c>
      <c r="BS713" t="s">
        <v>11015</v>
      </c>
      <c r="BT713" t="str">
        <f>HYPERLINK("https%3A%2F%2Fwww.webofscience.com%2Fwos%2Fwoscc%2Ffull-record%2FWOS:000232321300005","View Full Record in Web of Science")</f>
        <v>View Full Record in Web of Science</v>
      </c>
    </row>
    <row r="714" spans="1:72" x14ac:dyDescent="0.15">
      <c r="A714" t="s">
        <v>72</v>
      </c>
      <c r="B714" t="s">
        <v>11016</v>
      </c>
      <c r="C714" t="s">
        <v>74</v>
      </c>
      <c r="D714" t="s">
        <v>74</v>
      </c>
      <c r="E714" t="s">
        <v>74</v>
      </c>
      <c r="F714" t="s">
        <v>11016</v>
      </c>
      <c r="G714" t="s">
        <v>74</v>
      </c>
      <c r="H714" t="s">
        <v>74</v>
      </c>
      <c r="I714" t="s">
        <v>11017</v>
      </c>
      <c r="J714" t="s">
        <v>5776</v>
      </c>
      <c r="K714" t="s">
        <v>74</v>
      </c>
      <c r="L714" t="s">
        <v>74</v>
      </c>
      <c r="M714" t="s">
        <v>77</v>
      </c>
      <c r="N714" t="s">
        <v>78</v>
      </c>
      <c r="O714" t="s">
        <v>74</v>
      </c>
      <c r="P714" t="s">
        <v>74</v>
      </c>
      <c r="Q714" t="s">
        <v>74</v>
      </c>
      <c r="R714" t="s">
        <v>74</v>
      </c>
      <c r="S714" t="s">
        <v>74</v>
      </c>
      <c r="T714" t="s">
        <v>11018</v>
      </c>
      <c r="U714" t="s">
        <v>11019</v>
      </c>
      <c r="V714" t="s">
        <v>11020</v>
      </c>
      <c r="W714" t="s">
        <v>11021</v>
      </c>
      <c r="X714" t="s">
        <v>11022</v>
      </c>
      <c r="Y714" t="s">
        <v>11023</v>
      </c>
      <c r="Z714" t="s">
        <v>3138</v>
      </c>
      <c r="AA714" t="s">
        <v>74</v>
      </c>
      <c r="AB714" t="s">
        <v>74</v>
      </c>
      <c r="AC714" t="s">
        <v>74</v>
      </c>
      <c r="AD714" t="s">
        <v>74</v>
      </c>
      <c r="AE714" t="s">
        <v>74</v>
      </c>
      <c r="AF714" t="s">
        <v>74</v>
      </c>
      <c r="AG714">
        <v>19</v>
      </c>
      <c r="AH714">
        <v>56</v>
      </c>
      <c r="AI714">
        <v>62</v>
      </c>
      <c r="AJ714">
        <v>1</v>
      </c>
      <c r="AK714">
        <v>112</v>
      </c>
      <c r="AL714" t="s">
        <v>2239</v>
      </c>
      <c r="AM714" t="s">
        <v>89</v>
      </c>
      <c r="AN714" t="s">
        <v>5779</v>
      </c>
      <c r="AO714" t="s">
        <v>5780</v>
      </c>
      <c r="AP714" t="s">
        <v>74</v>
      </c>
      <c r="AQ714" t="s">
        <v>74</v>
      </c>
      <c r="AR714" t="s">
        <v>5781</v>
      </c>
      <c r="AS714" t="s">
        <v>5782</v>
      </c>
      <c r="AT714" t="s">
        <v>10970</v>
      </c>
      <c r="AU714">
        <v>2005</v>
      </c>
      <c r="AV714">
        <v>17</v>
      </c>
      <c r="AW714">
        <v>3</v>
      </c>
      <c r="AX714" t="s">
        <v>74</v>
      </c>
      <c r="AY714" t="s">
        <v>74</v>
      </c>
      <c r="AZ714" t="s">
        <v>74</v>
      </c>
      <c r="BA714" t="s">
        <v>74</v>
      </c>
      <c r="BB714">
        <v>335</v>
      </c>
      <c r="BC714">
        <v>340</v>
      </c>
      <c r="BD714" t="s">
        <v>74</v>
      </c>
      <c r="BE714" t="s">
        <v>11024</v>
      </c>
      <c r="BF714" t="str">
        <f>HYPERLINK("http://dx.doi.org/10.1017/S0954102005002750","http://dx.doi.org/10.1017/S0954102005002750")</f>
        <v>http://dx.doi.org/10.1017/S0954102005002750</v>
      </c>
      <c r="BG714" t="s">
        <v>74</v>
      </c>
      <c r="BH714" t="s">
        <v>74</v>
      </c>
      <c r="BI714">
        <v>6</v>
      </c>
      <c r="BJ714" t="s">
        <v>5784</v>
      </c>
      <c r="BK714" t="s">
        <v>98</v>
      </c>
      <c r="BL714" t="s">
        <v>5785</v>
      </c>
      <c r="BM714" t="s">
        <v>10972</v>
      </c>
      <c r="BN714" t="s">
        <v>74</v>
      </c>
      <c r="BO714" t="s">
        <v>74</v>
      </c>
      <c r="BP714" t="s">
        <v>74</v>
      </c>
      <c r="BQ714" t="s">
        <v>74</v>
      </c>
      <c r="BR714" t="s">
        <v>101</v>
      </c>
      <c r="BS714" t="s">
        <v>11025</v>
      </c>
      <c r="BT714" t="str">
        <f>HYPERLINK("https%3A%2F%2Fwww.webofscience.com%2Fwos%2Fwoscc%2Ffull-record%2FWOS:000232321300006","View Full Record in Web of Science")</f>
        <v>View Full Record in Web of Science</v>
      </c>
    </row>
    <row r="715" spans="1:72" x14ac:dyDescent="0.15">
      <c r="A715" t="s">
        <v>72</v>
      </c>
      <c r="B715" t="s">
        <v>11026</v>
      </c>
      <c r="C715" t="s">
        <v>74</v>
      </c>
      <c r="D715" t="s">
        <v>74</v>
      </c>
      <c r="E715" t="s">
        <v>74</v>
      </c>
      <c r="F715" t="s">
        <v>11026</v>
      </c>
      <c r="G715" t="s">
        <v>74</v>
      </c>
      <c r="H715" t="s">
        <v>74</v>
      </c>
      <c r="I715" t="s">
        <v>11027</v>
      </c>
      <c r="J715" t="s">
        <v>5776</v>
      </c>
      <c r="K715" t="s">
        <v>74</v>
      </c>
      <c r="L715" t="s">
        <v>74</v>
      </c>
      <c r="M715" t="s">
        <v>77</v>
      </c>
      <c r="N715" t="s">
        <v>78</v>
      </c>
      <c r="O715" t="s">
        <v>74</v>
      </c>
      <c r="P715" t="s">
        <v>74</v>
      </c>
      <c r="Q715" t="s">
        <v>74</v>
      </c>
      <c r="R715" t="s">
        <v>74</v>
      </c>
      <c r="S715" t="s">
        <v>74</v>
      </c>
      <c r="T715" t="s">
        <v>11028</v>
      </c>
      <c r="U715" t="s">
        <v>11029</v>
      </c>
      <c r="V715" t="s">
        <v>11030</v>
      </c>
      <c r="W715" t="s">
        <v>11031</v>
      </c>
      <c r="X715" t="s">
        <v>11032</v>
      </c>
      <c r="Y715" t="s">
        <v>11033</v>
      </c>
      <c r="Z715" t="s">
        <v>11034</v>
      </c>
      <c r="AA715" t="s">
        <v>2556</v>
      </c>
      <c r="AB715" t="s">
        <v>2557</v>
      </c>
      <c r="AC715" t="s">
        <v>74</v>
      </c>
      <c r="AD715" t="s">
        <v>74</v>
      </c>
      <c r="AE715" t="s">
        <v>74</v>
      </c>
      <c r="AF715" t="s">
        <v>74</v>
      </c>
      <c r="AG715">
        <v>46</v>
      </c>
      <c r="AH715">
        <v>48</v>
      </c>
      <c r="AI715">
        <v>54</v>
      </c>
      <c r="AJ715">
        <v>1</v>
      </c>
      <c r="AK715">
        <v>39</v>
      </c>
      <c r="AL715" t="s">
        <v>2239</v>
      </c>
      <c r="AM715" t="s">
        <v>89</v>
      </c>
      <c r="AN715" t="s">
        <v>4047</v>
      </c>
      <c r="AO715" t="s">
        <v>5780</v>
      </c>
      <c r="AP715" t="s">
        <v>5806</v>
      </c>
      <c r="AQ715" t="s">
        <v>74</v>
      </c>
      <c r="AR715" t="s">
        <v>5781</v>
      </c>
      <c r="AS715" t="s">
        <v>5782</v>
      </c>
      <c r="AT715" t="s">
        <v>10970</v>
      </c>
      <c r="AU715">
        <v>2005</v>
      </c>
      <c r="AV715">
        <v>17</v>
      </c>
      <c r="AW715">
        <v>3</v>
      </c>
      <c r="AX715" t="s">
        <v>74</v>
      </c>
      <c r="AY715" t="s">
        <v>74</v>
      </c>
      <c r="AZ715" t="s">
        <v>74</v>
      </c>
      <c r="BA715" t="s">
        <v>74</v>
      </c>
      <c r="BB715">
        <v>341</v>
      </c>
      <c r="BC715">
        <v>352</v>
      </c>
      <c r="BD715" t="s">
        <v>74</v>
      </c>
      <c r="BE715" t="s">
        <v>11035</v>
      </c>
      <c r="BF715" t="str">
        <f>HYPERLINK("http://dx.doi.org/10.1017/S0954102005002774","http://dx.doi.org/10.1017/S0954102005002774")</f>
        <v>http://dx.doi.org/10.1017/S0954102005002774</v>
      </c>
      <c r="BG715" t="s">
        <v>74</v>
      </c>
      <c r="BH715" t="s">
        <v>74</v>
      </c>
      <c r="BI715">
        <v>12</v>
      </c>
      <c r="BJ715" t="s">
        <v>5784</v>
      </c>
      <c r="BK715" t="s">
        <v>98</v>
      </c>
      <c r="BL715" t="s">
        <v>5785</v>
      </c>
      <c r="BM715" t="s">
        <v>10972</v>
      </c>
      <c r="BN715" t="s">
        <v>74</v>
      </c>
      <c r="BO715" t="s">
        <v>534</v>
      </c>
      <c r="BP715" t="s">
        <v>74</v>
      </c>
      <c r="BQ715" t="s">
        <v>74</v>
      </c>
      <c r="BR715" t="s">
        <v>101</v>
      </c>
      <c r="BS715" t="s">
        <v>11036</v>
      </c>
      <c r="BT715" t="str">
        <f>HYPERLINK("https%3A%2F%2Fwww.webofscience.com%2Fwos%2Fwoscc%2Ffull-record%2FWOS:000232321300007","View Full Record in Web of Science")</f>
        <v>View Full Record in Web of Science</v>
      </c>
    </row>
    <row r="716" spans="1:72" x14ac:dyDescent="0.15">
      <c r="A716" t="s">
        <v>72</v>
      </c>
      <c r="B716" t="s">
        <v>11037</v>
      </c>
      <c r="C716" t="s">
        <v>74</v>
      </c>
      <c r="D716" t="s">
        <v>74</v>
      </c>
      <c r="E716" t="s">
        <v>74</v>
      </c>
      <c r="F716" t="s">
        <v>11037</v>
      </c>
      <c r="G716" t="s">
        <v>74</v>
      </c>
      <c r="H716" t="s">
        <v>74</v>
      </c>
      <c r="I716" t="s">
        <v>11038</v>
      </c>
      <c r="J716" t="s">
        <v>5776</v>
      </c>
      <c r="K716" t="s">
        <v>74</v>
      </c>
      <c r="L716" t="s">
        <v>74</v>
      </c>
      <c r="M716" t="s">
        <v>77</v>
      </c>
      <c r="N716" t="s">
        <v>78</v>
      </c>
      <c r="O716" t="s">
        <v>74</v>
      </c>
      <c r="P716" t="s">
        <v>74</v>
      </c>
      <c r="Q716" t="s">
        <v>74</v>
      </c>
      <c r="R716" t="s">
        <v>74</v>
      </c>
      <c r="S716" t="s">
        <v>74</v>
      </c>
      <c r="T716" t="s">
        <v>11039</v>
      </c>
      <c r="U716" t="s">
        <v>11040</v>
      </c>
      <c r="V716" t="s">
        <v>11041</v>
      </c>
      <c r="W716" t="s">
        <v>11042</v>
      </c>
      <c r="X716" t="s">
        <v>2709</v>
      </c>
      <c r="Y716" t="s">
        <v>11043</v>
      </c>
      <c r="Z716" t="s">
        <v>11044</v>
      </c>
      <c r="AA716" t="s">
        <v>11045</v>
      </c>
      <c r="AB716" t="s">
        <v>11046</v>
      </c>
      <c r="AC716" t="s">
        <v>74</v>
      </c>
      <c r="AD716" t="s">
        <v>74</v>
      </c>
      <c r="AE716" t="s">
        <v>74</v>
      </c>
      <c r="AF716" t="s">
        <v>74</v>
      </c>
      <c r="AG716">
        <v>29</v>
      </c>
      <c r="AH716">
        <v>16</v>
      </c>
      <c r="AI716">
        <v>18</v>
      </c>
      <c r="AJ716">
        <v>0</v>
      </c>
      <c r="AK716">
        <v>3</v>
      </c>
      <c r="AL716" t="s">
        <v>2239</v>
      </c>
      <c r="AM716" t="s">
        <v>89</v>
      </c>
      <c r="AN716" t="s">
        <v>4047</v>
      </c>
      <c r="AO716" t="s">
        <v>5780</v>
      </c>
      <c r="AP716" t="s">
        <v>5806</v>
      </c>
      <c r="AQ716" t="s">
        <v>74</v>
      </c>
      <c r="AR716" t="s">
        <v>5781</v>
      </c>
      <c r="AS716" t="s">
        <v>5782</v>
      </c>
      <c r="AT716" t="s">
        <v>10970</v>
      </c>
      <c r="AU716">
        <v>2005</v>
      </c>
      <c r="AV716">
        <v>17</v>
      </c>
      <c r="AW716">
        <v>3</v>
      </c>
      <c r="AX716" t="s">
        <v>74</v>
      </c>
      <c r="AY716" t="s">
        <v>74</v>
      </c>
      <c r="AZ716" t="s">
        <v>74</v>
      </c>
      <c r="BA716" t="s">
        <v>74</v>
      </c>
      <c r="BB716">
        <v>353</v>
      </c>
      <c r="BC716">
        <v>360</v>
      </c>
      <c r="BD716" t="s">
        <v>74</v>
      </c>
      <c r="BE716" t="s">
        <v>11047</v>
      </c>
      <c r="BF716" t="str">
        <f>HYPERLINK("http://dx.doi.org/10.1017/S0954102005002786","http://dx.doi.org/10.1017/S0954102005002786")</f>
        <v>http://dx.doi.org/10.1017/S0954102005002786</v>
      </c>
      <c r="BG716" t="s">
        <v>74</v>
      </c>
      <c r="BH716" t="s">
        <v>74</v>
      </c>
      <c r="BI716">
        <v>8</v>
      </c>
      <c r="BJ716" t="s">
        <v>5784</v>
      </c>
      <c r="BK716" t="s">
        <v>98</v>
      </c>
      <c r="BL716" t="s">
        <v>5785</v>
      </c>
      <c r="BM716" t="s">
        <v>10972</v>
      </c>
      <c r="BN716" t="s">
        <v>74</v>
      </c>
      <c r="BO716" t="s">
        <v>74</v>
      </c>
      <c r="BP716" t="s">
        <v>74</v>
      </c>
      <c r="BQ716" t="s">
        <v>74</v>
      </c>
      <c r="BR716" t="s">
        <v>101</v>
      </c>
      <c r="BS716" t="s">
        <v>11048</v>
      </c>
      <c r="BT716" t="str">
        <f>HYPERLINK("https%3A%2F%2Fwww.webofscience.com%2Fwos%2Fwoscc%2Ffull-record%2FWOS:000232321300008","View Full Record in Web of Science")</f>
        <v>View Full Record in Web of Science</v>
      </c>
    </row>
    <row r="717" spans="1:72" x14ac:dyDescent="0.15">
      <c r="A717" t="s">
        <v>72</v>
      </c>
      <c r="B717" t="s">
        <v>11049</v>
      </c>
      <c r="C717" t="s">
        <v>74</v>
      </c>
      <c r="D717" t="s">
        <v>74</v>
      </c>
      <c r="E717" t="s">
        <v>74</v>
      </c>
      <c r="F717" t="s">
        <v>11049</v>
      </c>
      <c r="G717" t="s">
        <v>74</v>
      </c>
      <c r="H717" t="s">
        <v>74</v>
      </c>
      <c r="I717" t="s">
        <v>11050</v>
      </c>
      <c r="J717" t="s">
        <v>5776</v>
      </c>
      <c r="K717" t="s">
        <v>74</v>
      </c>
      <c r="L717" t="s">
        <v>74</v>
      </c>
      <c r="M717" t="s">
        <v>77</v>
      </c>
      <c r="N717" t="s">
        <v>78</v>
      </c>
      <c r="O717" t="s">
        <v>74</v>
      </c>
      <c r="P717" t="s">
        <v>74</v>
      </c>
      <c r="Q717" t="s">
        <v>74</v>
      </c>
      <c r="R717" t="s">
        <v>74</v>
      </c>
      <c r="S717" t="s">
        <v>74</v>
      </c>
      <c r="T717" t="s">
        <v>11051</v>
      </c>
      <c r="U717" t="s">
        <v>11052</v>
      </c>
      <c r="V717" t="s">
        <v>11053</v>
      </c>
      <c r="W717" t="s">
        <v>11054</v>
      </c>
      <c r="X717" t="s">
        <v>11055</v>
      </c>
      <c r="Y717" t="s">
        <v>11056</v>
      </c>
      <c r="Z717" t="s">
        <v>11057</v>
      </c>
      <c r="AA717" t="s">
        <v>74</v>
      </c>
      <c r="AB717" t="s">
        <v>11058</v>
      </c>
      <c r="AC717" t="s">
        <v>74</v>
      </c>
      <c r="AD717" t="s">
        <v>74</v>
      </c>
      <c r="AE717" t="s">
        <v>74</v>
      </c>
      <c r="AF717" t="s">
        <v>74</v>
      </c>
      <c r="AG717">
        <v>90</v>
      </c>
      <c r="AH717">
        <v>20</v>
      </c>
      <c r="AI717">
        <v>23</v>
      </c>
      <c r="AJ717">
        <v>1</v>
      </c>
      <c r="AK717">
        <v>19</v>
      </c>
      <c r="AL717" t="s">
        <v>2239</v>
      </c>
      <c r="AM717" t="s">
        <v>89</v>
      </c>
      <c r="AN717" t="s">
        <v>4047</v>
      </c>
      <c r="AO717" t="s">
        <v>5780</v>
      </c>
      <c r="AP717" t="s">
        <v>5806</v>
      </c>
      <c r="AQ717" t="s">
        <v>74</v>
      </c>
      <c r="AR717" t="s">
        <v>5781</v>
      </c>
      <c r="AS717" t="s">
        <v>5782</v>
      </c>
      <c r="AT717" t="s">
        <v>10970</v>
      </c>
      <c r="AU717">
        <v>2005</v>
      </c>
      <c r="AV717">
        <v>17</v>
      </c>
      <c r="AW717">
        <v>3</v>
      </c>
      <c r="AX717" t="s">
        <v>74</v>
      </c>
      <c r="AY717" t="s">
        <v>74</v>
      </c>
      <c r="AZ717" t="s">
        <v>74</v>
      </c>
      <c r="BA717" t="s">
        <v>74</v>
      </c>
      <c r="BB717">
        <v>361</v>
      </c>
      <c r="BC717">
        <v>376</v>
      </c>
      <c r="BD717" t="s">
        <v>74</v>
      </c>
      <c r="BE717" t="s">
        <v>11059</v>
      </c>
      <c r="BF717" t="str">
        <f>HYPERLINK("http://dx.doi.org/10.1017/S0954102005002804","http://dx.doi.org/10.1017/S0954102005002804")</f>
        <v>http://dx.doi.org/10.1017/S0954102005002804</v>
      </c>
      <c r="BG717" t="s">
        <v>74</v>
      </c>
      <c r="BH717" t="s">
        <v>74</v>
      </c>
      <c r="BI717">
        <v>16</v>
      </c>
      <c r="BJ717" t="s">
        <v>5784</v>
      </c>
      <c r="BK717" t="s">
        <v>98</v>
      </c>
      <c r="BL717" t="s">
        <v>5785</v>
      </c>
      <c r="BM717" t="s">
        <v>10972</v>
      </c>
      <c r="BN717" t="s">
        <v>74</v>
      </c>
      <c r="BO717" t="s">
        <v>74</v>
      </c>
      <c r="BP717" t="s">
        <v>74</v>
      </c>
      <c r="BQ717" t="s">
        <v>74</v>
      </c>
      <c r="BR717" t="s">
        <v>101</v>
      </c>
      <c r="BS717" t="s">
        <v>11060</v>
      </c>
      <c r="BT717" t="str">
        <f>HYPERLINK("https%3A%2F%2Fwww.webofscience.com%2Fwos%2Fwoscc%2Ffull-record%2FWOS:000232321300009","View Full Record in Web of Science")</f>
        <v>View Full Record in Web of Science</v>
      </c>
    </row>
    <row r="718" spans="1:72" x14ac:dyDescent="0.15">
      <c r="A718" t="s">
        <v>72</v>
      </c>
      <c r="B718" t="s">
        <v>11061</v>
      </c>
      <c r="C718" t="s">
        <v>74</v>
      </c>
      <c r="D718" t="s">
        <v>74</v>
      </c>
      <c r="E718" t="s">
        <v>74</v>
      </c>
      <c r="F718" t="s">
        <v>11061</v>
      </c>
      <c r="G718" t="s">
        <v>74</v>
      </c>
      <c r="H718" t="s">
        <v>74</v>
      </c>
      <c r="I718" t="s">
        <v>11062</v>
      </c>
      <c r="J718" t="s">
        <v>5776</v>
      </c>
      <c r="K718" t="s">
        <v>74</v>
      </c>
      <c r="L718" t="s">
        <v>74</v>
      </c>
      <c r="M718" t="s">
        <v>77</v>
      </c>
      <c r="N718" t="s">
        <v>78</v>
      </c>
      <c r="O718" t="s">
        <v>74</v>
      </c>
      <c r="P718" t="s">
        <v>74</v>
      </c>
      <c r="Q718" t="s">
        <v>74</v>
      </c>
      <c r="R718" t="s">
        <v>74</v>
      </c>
      <c r="S718" t="s">
        <v>74</v>
      </c>
      <c r="T718" t="s">
        <v>11063</v>
      </c>
      <c r="U718" t="s">
        <v>11064</v>
      </c>
      <c r="V718" t="s">
        <v>11065</v>
      </c>
      <c r="W718" t="s">
        <v>11066</v>
      </c>
      <c r="X718" t="s">
        <v>11067</v>
      </c>
      <c r="Y718" t="s">
        <v>11068</v>
      </c>
      <c r="Z718" t="s">
        <v>11069</v>
      </c>
      <c r="AA718" t="s">
        <v>74</v>
      </c>
      <c r="AB718" t="s">
        <v>74</v>
      </c>
      <c r="AC718" t="s">
        <v>74</v>
      </c>
      <c r="AD718" t="s">
        <v>74</v>
      </c>
      <c r="AE718" t="s">
        <v>74</v>
      </c>
      <c r="AF718" t="s">
        <v>74</v>
      </c>
      <c r="AG718">
        <v>39</v>
      </c>
      <c r="AH718">
        <v>14</v>
      </c>
      <c r="AI718">
        <v>15</v>
      </c>
      <c r="AJ718">
        <v>1</v>
      </c>
      <c r="AK718">
        <v>10</v>
      </c>
      <c r="AL718" t="s">
        <v>2239</v>
      </c>
      <c r="AM718" t="s">
        <v>89</v>
      </c>
      <c r="AN718" t="s">
        <v>4047</v>
      </c>
      <c r="AO718" t="s">
        <v>5780</v>
      </c>
      <c r="AP718" t="s">
        <v>5806</v>
      </c>
      <c r="AQ718" t="s">
        <v>74</v>
      </c>
      <c r="AR718" t="s">
        <v>5781</v>
      </c>
      <c r="AS718" t="s">
        <v>5782</v>
      </c>
      <c r="AT718" t="s">
        <v>10970</v>
      </c>
      <c r="AU718">
        <v>2005</v>
      </c>
      <c r="AV718">
        <v>17</v>
      </c>
      <c r="AW718">
        <v>3</v>
      </c>
      <c r="AX718" t="s">
        <v>74</v>
      </c>
      <c r="AY718" t="s">
        <v>74</v>
      </c>
      <c r="AZ718" t="s">
        <v>74</v>
      </c>
      <c r="BA718" t="s">
        <v>74</v>
      </c>
      <c r="BB718">
        <v>377</v>
      </c>
      <c r="BC718">
        <v>384</v>
      </c>
      <c r="BD718" t="s">
        <v>74</v>
      </c>
      <c r="BE718" t="s">
        <v>11070</v>
      </c>
      <c r="BF718" t="str">
        <f>HYPERLINK("http://dx.doi.org/10.1017/S0954102005002816","http://dx.doi.org/10.1017/S0954102005002816")</f>
        <v>http://dx.doi.org/10.1017/S0954102005002816</v>
      </c>
      <c r="BG718" t="s">
        <v>74</v>
      </c>
      <c r="BH718" t="s">
        <v>74</v>
      </c>
      <c r="BI718">
        <v>8</v>
      </c>
      <c r="BJ718" t="s">
        <v>5784</v>
      </c>
      <c r="BK718" t="s">
        <v>98</v>
      </c>
      <c r="BL718" t="s">
        <v>5785</v>
      </c>
      <c r="BM718" t="s">
        <v>10972</v>
      </c>
      <c r="BN718" t="s">
        <v>74</v>
      </c>
      <c r="BO718" t="s">
        <v>74</v>
      </c>
      <c r="BP718" t="s">
        <v>74</v>
      </c>
      <c r="BQ718" t="s">
        <v>74</v>
      </c>
      <c r="BR718" t="s">
        <v>101</v>
      </c>
      <c r="BS718" t="s">
        <v>11071</v>
      </c>
      <c r="BT718" t="str">
        <f>HYPERLINK("https%3A%2F%2Fwww.webofscience.com%2Fwos%2Fwoscc%2Ffull-record%2FWOS:000232321300010","View Full Record in Web of Science")</f>
        <v>View Full Record in Web of Science</v>
      </c>
    </row>
    <row r="719" spans="1:72" x14ac:dyDescent="0.15">
      <c r="A719" t="s">
        <v>72</v>
      </c>
      <c r="B719" t="s">
        <v>11072</v>
      </c>
      <c r="C719" t="s">
        <v>74</v>
      </c>
      <c r="D719" t="s">
        <v>74</v>
      </c>
      <c r="E719" t="s">
        <v>74</v>
      </c>
      <c r="F719" t="s">
        <v>11072</v>
      </c>
      <c r="G719" t="s">
        <v>74</v>
      </c>
      <c r="H719" t="s">
        <v>74</v>
      </c>
      <c r="I719" t="s">
        <v>11073</v>
      </c>
      <c r="J719" t="s">
        <v>5776</v>
      </c>
      <c r="K719" t="s">
        <v>74</v>
      </c>
      <c r="L719" t="s">
        <v>74</v>
      </c>
      <c r="M719" t="s">
        <v>77</v>
      </c>
      <c r="N719" t="s">
        <v>78</v>
      </c>
      <c r="O719" t="s">
        <v>74</v>
      </c>
      <c r="P719" t="s">
        <v>74</v>
      </c>
      <c r="Q719" t="s">
        <v>74</v>
      </c>
      <c r="R719" t="s">
        <v>74</v>
      </c>
      <c r="S719" t="s">
        <v>74</v>
      </c>
      <c r="T719" t="s">
        <v>74</v>
      </c>
      <c r="U719" t="s">
        <v>11074</v>
      </c>
      <c r="V719" t="s">
        <v>74</v>
      </c>
      <c r="W719" t="s">
        <v>11075</v>
      </c>
      <c r="X719" t="s">
        <v>74</v>
      </c>
      <c r="Y719" t="s">
        <v>11076</v>
      </c>
      <c r="Z719" t="s">
        <v>74</v>
      </c>
      <c r="AA719" t="s">
        <v>74</v>
      </c>
      <c r="AB719" t="s">
        <v>74</v>
      </c>
      <c r="AC719" t="s">
        <v>74</v>
      </c>
      <c r="AD719" t="s">
        <v>74</v>
      </c>
      <c r="AE719" t="s">
        <v>74</v>
      </c>
      <c r="AF719" t="s">
        <v>74</v>
      </c>
      <c r="AG719">
        <v>17</v>
      </c>
      <c r="AH719">
        <v>20</v>
      </c>
      <c r="AI719">
        <v>21</v>
      </c>
      <c r="AJ719">
        <v>1</v>
      </c>
      <c r="AK719">
        <v>11</v>
      </c>
      <c r="AL719" t="s">
        <v>2239</v>
      </c>
      <c r="AM719" t="s">
        <v>89</v>
      </c>
      <c r="AN719" t="s">
        <v>5779</v>
      </c>
      <c r="AO719" t="s">
        <v>5780</v>
      </c>
      <c r="AP719" t="s">
        <v>74</v>
      </c>
      <c r="AQ719" t="s">
        <v>74</v>
      </c>
      <c r="AR719" t="s">
        <v>5781</v>
      </c>
      <c r="AS719" t="s">
        <v>5782</v>
      </c>
      <c r="AT719" t="s">
        <v>10970</v>
      </c>
      <c r="AU719">
        <v>2005</v>
      </c>
      <c r="AV719">
        <v>17</v>
      </c>
      <c r="AW719">
        <v>3</v>
      </c>
      <c r="AX719" t="s">
        <v>74</v>
      </c>
      <c r="AY719" t="s">
        <v>74</v>
      </c>
      <c r="AZ719" t="s">
        <v>74</v>
      </c>
      <c r="BA719" t="s">
        <v>74</v>
      </c>
      <c r="BB719">
        <v>385</v>
      </c>
      <c r="BC719">
        <v>386</v>
      </c>
      <c r="BD719" t="s">
        <v>74</v>
      </c>
      <c r="BE719" t="s">
        <v>11077</v>
      </c>
      <c r="BF719" t="str">
        <f>HYPERLINK("http://dx.doi.org/10.1017/S0954102005002828","http://dx.doi.org/10.1017/S0954102005002828")</f>
        <v>http://dx.doi.org/10.1017/S0954102005002828</v>
      </c>
      <c r="BG719" t="s">
        <v>74</v>
      </c>
      <c r="BH719" t="s">
        <v>74</v>
      </c>
      <c r="BI719">
        <v>2</v>
      </c>
      <c r="BJ719" t="s">
        <v>5784</v>
      </c>
      <c r="BK719" t="s">
        <v>98</v>
      </c>
      <c r="BL719" t="s">
        <v>5785</v>
      </c>
      <c r="BM719" t="s">
        <v>10972</v>
      </c>
      <c r="BN719" t="s">
        <v>74</v>
      </c>
      <c r="BO719" t="s">
        <v>74</v>
      </c>
      <c r="BP719" t="s">
        <v>74</v>
      </c>
      <c r="BQ719" t="s">
        <v>74</v>
      </c>
      <c r="BR719" t="s">
        <v>101</v>
      </c>
      <c r="BS719" t="s">
        <v>11078</v>
      </c>
      <c r="BT719" t="str">
        <f>HYPERLINK("https%3A%2F%2Fwww.webofscience.com%2Fwos%2Fwoscc%2Ffull-record%2FWOS:000232321300011","View Full Record in Web of Science")</f>
        <v>View Full Record in Web of Science</v>
      </c>
    </row>
    <row r="720" spans="1:72" x14ac:dyDescent="0.15">
      <c r="A720" t="s">
        <v>72</v>
      </c>
      <c r="B720" t="s">
        <v>11079</v>
      </c>
      <c r="C720" t="s">
        <v>74</v>
      </c>
      <c r="D720" t="s">
        <v>74</v>
      </c>
      <c r="E720" t="s">
        <v>74</v>
      </c>
      <c r="F720" t="s">
        <v>11079</v>
      </c>
      <c r="G720" t="s">
        <v>74</v>
      </c>
      <c r="H720" t="s">
        <v>74</v>
      </c>
      <c r="I720" t="s">
        <v>11080</v>
      </c>
      <c r="J720" t="s">
        <v>5776</v>
      </c>
      <c r="K720" t="s">
        <v>74</v>
      </c>
      <c r="L720" t="s">
        <v>74</v>
      </c>
      <c r="M720" t="s">
        <v>77</v>
      </c>
      <c r="N720" t="s">
        <v>78</v>
      </c>
      <c r="O720" t="s">
        <v>74</v>
      </c>
      <c r="P720" t="s">
        <v>74</v>
      </c>
      <c r="Q720" t="s">
        <v>74</v>
      </c>
      <c r="R720" t="s">
        <v>74</v>
      </c>
      <c r="S720" t="s">
        <v>74</v>
      </c>
      <c r="T720" t="s">
        <v>11081</v>
      </c>
      <c r="U720" t="s">
        <v>11082</v>
      </c>
      <c r="V720" t="s">
        <v>11083</v>
      </c>
      <c r="W720" t="s">
        <v>11084</v>
      </c>
      <c r="X720" t="s">
        <v>11085</v>
      </c>
      <c r="Y720" t="s">
        <v>11086</v>
      </c>
      <c r="Z720" t="s">
        <v>11087</v>
      </c>
      <c r="AA720" t="s">
        <v>74</v>
      </c>
      <c r="AB720" t="s">
        <v>11088</v>
      </c>
      <c r="AC720" t="s">
        <v>74</v>
      </c>
      <c r="AD720" t="s">
        <v>74</v>
      </c>
      <c r="AE720" t="s">
        <v>74</v>
      </c>
      <c r="AF720" t="s">
        <v>74</v>
      </c>
      <c r="AG720">
        <v>73</v>
      </c>
      <c r="AH720">
        <v>22</v>
      </c>
      <c r="AI720">
        <v>29</v>
      </c>
      <c r="AJ720">
        <v>0</v>
      </c>
      <c r="AK720">
        <v>6</v>
      </c>
      <c r="AL720" t="s">
        <v>2239</v>
      </c>
      <c r="AM720" t="s">
        <v>89</v>
      </c>
      <c r="AN720" t="s">
        <v>5779</v>
      </c>
      <c r="AO720" t="s">
        <v>5780</v>
      </c>
      <c r="AP720" t="s">
        <v>74</v>
      </c>
      <c r="AQ720" t="s">
        <v>74</v>
      </c>
      <c r="AR720" t="s">
        <v>5781</v>
      </c>
      <c r="AS720" t="s">
        <v>5782</v>
      </c>
      <c r="AT720" t="s">
        <v>10970</v>
      </c>
      <c r="AU720">
        <v>2005</v>
      </c>
      <c r="AV720">
        <v>17</v>
      </c>
      <c r="AW720">
        <v>3</v>
      </c>
      <c r="AX720" t="s">
        <v>74</v>
      </c>
      <c r="AY720" t="s">
        <v>74</v>
      </c>
      <c r="AZ720" t="s">
        <v>74</v>
      </c>
      <c r="BA720" t="s">
        <v>74</v>
      </c>
      <c r="BB720">
        <v>387</v>
      </c>
      <c r="BC720">
        <v>408</v>
      </c>
      <c r="BD720" t="s">
        <v>74</v>
      </c>
      <c r="BE720" t="s">
        <v>11089</v>
      </c>
      <c r="BF720" t="str">
        <f>HYPERLINK("http://dx.doi.org/10.1017/S095410200500283X","http://dx.doi.org/10.1017/S095410200500283X")</f>
        <v>http://dx.doi.org/10.1017/S095410200500283X</v>
      </c>
      <c r="BG720" t="s">
        <v>74</v>
      </c>
      <c r="BH720" t="s">
        <v>74</v>
      </c>
      <c r="BI720">
        <v>22</v>
      </c>
      <c r="BJ720" t="s">
        <v>5784</v>
      </c>
      <c r="BK720" t="s">
        <v>98</v>
      </c>
      <c r="BL720" t="s">
        <v>5785</v>
      </c>
      <c r="BM720" t="s">
        <v>10972</v>
      </c>
      <c r="BN720" t="s">
        <v>74</v>
      </c>
      <c r="BO720" t="s">
        <v>74</v>
      </c>
      <c r="BP720" t="s">
        <v>74</v>
      </c>
      <c r="BQ720" t="s">
        <v>74</v>
      </c>
      <c r="BR720" t="s">
        <v>101</v>
      </c>
      <c r="BS720" t="s">
        <v>11090</v>
      </c>
      <c r="BT720" t="str">
        <f>HYPERLINK("https%3A%2F%2Fwww.webofscience.com%2Fwos%2Fwoscc%2Ffull-record%2FWOS:000232321300012","View Full Record in Web of Science")</f>
        <v>View Full Record in Web of Science</v>
      </c>
    </row>
    <row r="721" spans="1:72" x14ac:dyDescent="0.15">
      <c r="A721" t="s">
        <v>72</v>
      </c>
      <c r="B721" t="s">
        <v>11091</v>
      </c>
      <c r="C721" t="s">
        <v>74</v>
      </c>
      <c r="D721" t="s">
        <v>74</v>
      </c>
      <c r="E721" t="s">
        <v>74</v>
      </c>
      <c r="F721" t="s">
        <v>11091</v>
      </c>
      <c r="G721" t="s">
        <v>74</v>
      </c>
      <c r="H721" t="s">
        <v>74</v>
      </c>
      <c r="I721" t="s">
        <v>11092</v>
      </c>
      <c r="J721" t="s">
        <v>5776</v>
      </c>
      <c r="K721" t="s">
        <v>74</v>
      </c>
      <c r="L721" t="s">
        <v>74</v>
      </c>
      <c r="M721" t="s">
        <v>77</v>
      </c>
      <c r="N721" t="s">
        <v>78</v>
      </c>
      <c r="O721" t="s">
        <v>74</v>
      </c>
      <c r="P721" t="s">
        <v>74</v>
      </c>
      <c r="Q721" t="s">
        <v>74</v>
      </c>
      <c r="R721" t="s">
        <v>74</v>
      </c>
      <c r="S721" t="s">
        <v>74</v>
      </c>
      <c r="T721" t="s">
        <v>11093</v>
      </c>
      <c r="U721" t="s">
        <v>11094</v>
      </c>
      <c r="V721" t="s">
        <v>11095</v>
      </c>
      <c r="W721" t="s">
        <v>11096</v>
      </c>
      <c r="X721" t="s">
        <v>11097</v>
      </c>
      <c r="Y721" t="s">
        <v>11098</v>
      </c>
      <c r="Z721" t="s">
        <v>11099</v>
      </c>
      <c r="AA721" t="s">
        <v>11100</v>
      </c>
      <c r="AB721" t="s">
        <v>74</v>
      </c>
      <c r="AC721" t="s">
        <v>74</v>
      </c>
      <c r="AD721" t="s">
        <v>74</v>
      </c>
      <c r="AE721" t="s">
        <v>74</v>
      </c>
      <c r="AF721" t="s">
        <v>74</v>
      </c>
      <c r="AG721">
        <v>26</v>
      </c>
      <c r="AH721">
        <v>17</v>
      </c>
      <c r="AI721">
        <v>22</v>
      </c>
      <c r="AJ721">
        <v>0</v>
      </c>
      <c r="AK721">
        <v>4</v>
      </c>
      <c r="AL721" t="s">
        <v>2239</v>
      </c>
      <c r="AM721" t="s">
        <v>89</v>
      </c>
      <c r="AN721" t="s">
        <v>4047</v>
      </c>
      <c r="AO721" t="s">
        <v>5780</v>
      </c>
      <c r="AP721" t="s">
        <v>5806</v>
      </c>
      <c r="AQ721" t="s">
        <v>74</v>
      </c>
      <c r="AR721" t="s">
        <v>5781</v>
      </c>
      <c r="AS721" t="s">
        <v>5782</v>
      </c>
      <c r="AT721" t="s">
        <v>10970</v>
      </c>
      <c r="AU721">
        <v>2005</v>
      </c>
      <c r="AV721">
        <v>17</v>
      </c>
      <c r="AW721">
        <v>3</v>
      </c>
      <c r="AX721" t="s">
        <v>74</v>
      </c>
      <c r="AY721" t="s">
        <v>74</v>
      </c>
      <c r="AZ721" t="s">
        <v>74</v>
      </c>
      <c r="BA721" t="s">
        <v>74</v>
      </c>
      <c r="BB721">
        <v>409</v>
      </c>
      <c r="BC721">
        <v>417</v>
      </c>
      <c r="BD721" t="s">
        <v>74</v>
      </c>
      <c r="BE721" t="s">
        <v>11101</v>
      </c>
      <c r="BF721" t="str">
        <f>HYPERLINK("http://dx.doi.org/10.1017/S0954102005002853","http://dx.doi.org/10.1017/S0954102005002853")</f>
        <v>http://dx.doi.org/10.1017/S0954102005002853</v>
      </c>
      <c r="BG721" t="s">
        <v>74</v>
      </c>
      <c r="BH721" t="s">
        <v>74</v>
      </c>
      <c r="BI721">
        <v>9</v>
      </c>
      <c r="BJ721" t="s">
        <v>5784</v>
      </c>
      <c r="BK721" t="s">
        <v>98</v>
      </c>
      <c r="BL721" t="s">
        <v>5785</v>
      </c>
      <c r="BM721" t="s">
        <v>10972</v>
      </c>
      <c r="BN721" t="s">
        <v>74</v>
      </c>
      <c r="BO721" t="s">
        <v>74</v>
      </c>
      <c r="BP721" t="s">
        <v>74</v>
      </c>
      <c r="BQ721" t="s">
        <v>74</v>
      </c>
      <c r="BR721" t="s">
        <v>101</v>
      </c>
      <c r="BS721" t="s">
        <v>11102</v>
      </c>
      <c r="BT721" t="str">
        <f>HYPERLINK("https%3A%2F%2Fwww.webofscience.com%2Fwos%2Fwoscc%2Ffull-record%2FWOS:000232321300013","View Full Record in Web of Science")</f>
        <v>View Full Record in Web of Science</v>
      </c>
    </row>
    <row r="722" spans="1:72" x14ac:dyDescent="0.15">
      <c r="A722" t="s">
        <v>72</v>
      </c>
      <c r="B722" t="s">
        <v>11103</v>
      </c>
      <c r="C722" t="s">
        <v>74</v>
      </c>
      <c r="D722" t="s">
        <v>74</v>
      </c>
      <c r="E722" t="s">
        <v>74</v>
      </c>
      <c r="F722" t="s">
        <v>11103</v>
      </c>
      <c r="G722" t="s">
        <v>74</v>
      </c>
      <c r="H722" t="s">
        <v>74</v>
      </c>
      <c r="I722" t="s">
        <v>11104</v>
      </c>
      <c r="J722" t="s">
        <v>5776</v>
      </c>
      <c r="K722" t="s">
        <v>74</v>
      </c>
      <c r="L722" t="s">
        <v>74</v>
      </c>
      <c r="M722" t="s">
        <v>77</v>
      </c>
      <c r="N722" t="s">
        <v>78</v>
      </c>
      <c r="O722" t="s">
        <v>74</v>
      </c>
      <c r="P722" t="s">
        <v>74</v>
      </c>
      <c r="Q722" t="s">
        <v>74</v>
      </c>
      <c r="R722" t="s">
        <v>74</v>
      </c>
      <c r="S722" t="s">
        <v>74</v>
      </c>
      <c r="T722" t="s">
        <v>11105</v>
      </c>
      <c r="U722" t="s">
        <v>74</v>
      </c>
      <c r="V722" t="s">
        <v>11106</v>
      </c>
      <c r="W722" t="s">
        <v>11107</v>
      </c>
      <c r="X722" t="s">
        <v>11108</v>
      </c>
      <c r="Y722" t="s">
        <v>11109</v>
      </c>
      <c r="Z722" t="s">
        <v>11110</v>
      </c>
      <c r="AA722" t="s">
        <v>11111</v>
      </c>
      <c r="AB722" t="s">
        <v>11112</v>
      </c>
      <c r="AC722" t="s">
        <v>74</v>
      </c>
      <c r="AD722" t="s">
        <v>74</v>
      </c>
      <c r="AE722" t="s">
        <v>74</v>
      </c>
      <c r="AF722" t="s">
        <v>74</v>
      </c>
      <c r="AG722">
        <v>33</v>
      </c>
      <c r="AH722">
        <v>14</v>
      </c>
      <c r="AI722">
        <v>15</v>
      </c>
      <c r="AJ722">
        <v>0</v>
      </c>
      <c r="AK722">
        <v>5</v>
      </c>
      <c r="AL722" t="s">
        <v>2239</v>
      </c>
      <c r="AM722" t="s">
        <v>89</v>
      </c>
      <c r="AN722" t="s">
        <v>4047</v>
      </c>
      <c r="AO722" t="s">
        <v>5780</v>
      </c>
      <c r="AP722" t="s">
        <v>5806</v>
      </c>
      <c r="AQ722" t="s">
        <v>74</v>
      </c>
      <c r="AR722" t="s">
        <v>5781</v>
      </c>
      <c r="AS722" t="s">
        <v>5782</v>
      </c>
      <c r="AT722" t="s">
        <v>10970</v>
      </c>
      <c r="AU722">
        <v>2005</v>
      </c>
      <c r="AV722">
        <v>17</v>
      </c>
      <c r="AW722">
        <v>3</v>
      </c>
      <c r="AX722" t="s">
        <v>74</v>
      </c>
      <c r="AY722" t="s">
        <v>74</v>
      </c>
      <c r="AZ722" t="s">
        <v>74</v>
      </c>
      <c r="BA722" t="s">
        <v>74</v>
      </c>
      <c r="BB722">
        <v>418</v>
      </c>
      <c r="BC722">
        <v>426</v>
      </c>
      <c r="BD722" t="s">
        <v>74</v>
      </c>
      <c r="BE722" t="s">
        <v>11113</v>
      </c>
      <c r="BF722" t="str">
        <f>HYPERLINK("http://dx.doi.org/10.1017/S0954102005002841","http://dx.doi.org/10.1017/S0954102005002841")</f>
        <v>http://dx.doi.org/10.1017/S0954102005002841</v>
      </c>
      <c r="BG722" t="s">
        <v>74</v>
      </c>
      <c r="BH722" t="s">
        <v>74</v>
      </c>
      <c r="BI722">
        <v>9</v>
      </c>
      <c r="BJ722" t="s">
        <v>5784</v>
      </c>
      <c r="BK722" t="s">
        <v>98</v>
      </c>
      <c r="BL722" t="s">
        <v>5785</v>
      </c>
      <c r="BM722" t="s">
        <v>10972</v>
      </c>
      <c r="BN722" t="s">
        <v>74</v>
      </c>
      <c r="BO722" t="s">
        <v>722</v>
      </c>
      <c r="BP722" t="s">
        <v>74</v>
      </c>
      <c r="BQ722" t="s">
        <v>74</v>
      </c>
      <c r="BR722" t="s">
        <v>101</v>
      </c>
      <c r="BS722" t="s">
        <v>11114</v>
      </c>
      <c r="BT722" t="str">
        <f>HYPERLINK("https%3A%2F%2Fwww.webofscience.com%2Fwos%2Fwoscc%2Ffull-record%2FWOS:000232321300014","View Full Record in Web of Science")</f>
        <v>View Full Record in Web of Science</v>
      </c>
    </row>
    <row r="723" spans="1:72" x14ac:dyDescent="0.15">
      <c r="A723" t="s">
        <v>72</v>
      </c>
      <c r="B723" t="s">
        <v>11115</v>
      </c>
      <c r="C723" t="s">
        <v>74</v>
      </c>
      <c r="D723" t="s">
        <v>74</v>
      </c>
      <c r="E723" t="s">
        <v>74</v>
      </c>
      <c r="F723" t="s">
        <v>11115</v>
      </c>
      <c r="G723" t="s">
        <v>74</v>
      </c>
      <c r="H723" t="s">
        <v>74</v>
      </c>
      <c r="I723" t="s">
        <v>11116</v>
      </c>
      <c r="J723" t="s">
        <v>5776</v>
      </c>
      <c r="K723" t="s">
        <v>74</v>
      </c>
      <c r="L723" t="s">
        <v>74</v>
      </c>
      <c r="M723" t="s">
        <v>77</v>
      </c>
      <c r="N723" t="s">
        <v>78</v>
      </c>
      <c r="O723" t="s">
        <v>74</v>
      </c>
      <c r="P723" t="s">
        <v>74</v>
      </c>
      <c r="Q723" t="s">
        <v>74</v>
      </c>
      <c r="R723" t="s">
        <v>74</v>
      </c>
      <c r="S723" t="s">
        <v>74</v>
      </c>
      <c r="T723" t="s">
        <v>11117</v>
      </c>
      <c r="U723" t="s">
        <v>11118</v>
      </c>
      <c r="V723" t="s">
        <v>11119</v>
      </c>
      <c r="W723" t="s">
        <v>11120</v>
      </c>
      <c r="X723" t="s">
        <v>11121</v>
      </c>
      <c r="Y723" t="s">
        <v>11122</v>
      </c>
      <c r="Z723" t="s">
        <v>11123</v>
      </c>
      <c r="AA723" t="s">
        <v>11124</v>
      </c>
      <c r="AB723" t="s">
        <v>11125</v>
      </c>
      <c r="AC723" t="s">
        <v>74</v>
      </c>
      <c r="AD723" t="s">
        <v>74</v>
      </c>
      <c r="AE723" t="s">
        <v>74</v>
      </c>
      <c r="AF723" t="s">
        <v>74</v>
      </c>
      <c r="AG723">
        <v>70</v>
      </c>
      <c r="AH723">
        <v>13</v>
      </c>
      <c r="AI723">
        <v>18</v>
      </c>
      <c r="AJ723">
        <v>0</v>
      </c>
      <c r="AK723">
        <v>12</v>
      </c>
      <c r="AL723" t="s">
        <v>2239</v>
      </c>
      <c r="AM723" t="s">
        <v>89</v>
      </c>
      <c r="AN723" t="s">
        <v>4047</v>
      </c>
      <c r="AO723" t="s">
        <v>5780</v>
      </c>
      <c r="AP723" t="s">
        <v>5806</v>
      </c>
      <c r="AQ723" t="s">
        <v>74</v>
      </c>
      <c r="AR723" t="s">
        <v>5781</v>
      </c>
      <c r="AS723" t="s">
        <v>5782</v>
      </c>
      <c r="AT723" t="s">
        <v>10970</v>
      </c>
      <c r="AU723">
        <v>2005</v>
      </c>
      <c r="AV723">
        <v>17</v>
      </c>
      <c r="AW723">
        <v>3</v>
      </c>
      <c r="AX723" t="s">
        <v>74</v>
      </c>
      <c r="AY723" t="s">
        <v>74</v>
      </c>
      <c r="AZ723" t="s">
        <v>74</v>
      </c>
      <c r="BA723" t="s">
        <v>74</v>
      </c>
      <c r="BB723">
        <v>427</v>
      </c>
      <c r="BC723">
        <v>442</v>
      </c>
      <c r="BD723" t="s">
        <v>74</v>
      </c>
      <c r="BE723" t="s">
        <v>11126</v>
      </c>
      <c r="BF723" t="str">
        <f>HYPERLINK("http://dx.doi.org/10.1017/S0954102005002865","http://dx.doi.org/10.1017/S0954102005002865")</f>
        <v>http://dx.doi.org/10.1017/S0954102005002865</v>
      </c>
      <c r="BG723" t="s">
        <v>74</v>
      </c>
      <c r="BH723" t="s">
        <v>74</v>
      </c>
      <c r="BI723">
        <v>16</v>
      </c>
      <c r="BJ723" t="s">
        <v>5784</v>
      </c>
      <c r="BK723" t="s">
        <v>98</v>
      </c>
      <c r="BL723" t="s">
        <v>5785</v>
      </c>
      <c r="BM723" t="s">
        <v>10972</v>
      </c>
      <c r="BN723" t="s">
        <v>74</v>
      </c>
      <c r="BO723" t="s">
        <v>74</v>
      </c>
      <c r="BP723" t="s">
        <v>74</v>
      </c>
      <c r="BQ723" t="s">
        <v>74</v>
      </c>
      <c r="BR723" t="s">
        <v>101</v>
      </c>
      <c r="BS723" t="s">
        <v>11127</v>
      </c>
      <c r="BT723" t="str">
        <f>HYPERLINK("https%3A%2F%2Fwww.webofscience.com%2Fwos%2Fwoscc%2Ffull-record%2FWOS:000232321300015","View Full Record in Web of Science")</f>
        <v>View Full Record in Web of Science</v>
      </c>
    </row>
    <row r="724" spans="1:72" x14ac:dyDescent="0.15">
      <c r="A724" t="s">
        <v>72</v>
      </c>
      <c r="B724" t="s">
        <v>11128</v>
      </c>
      <c r="C724" t="s">
        <v>74</v>
      </c>
      <c r="D724" t="s">
        <v>74</v>
      </c>
      <c r="E724" t="s">
        <v>74</v>
      </c>
      <c r="F724" t="s">
        <v>11128</v>
      </c>
      <c r="G724" t="s">
        <v>74</v>
      </c>
      <c r="H724" t="s">
        <v>74</v>
      </c>
      <c r="I724" t="s">
        <v>11129</v>
      </c>
      <c r="J724" t="s">
        <v>5776</v>
      </c>
      <c r="K724" t="s">
        <v>74</v>
      </c>
      <c r="L724" t="s">
        <v>74</v>
      </c>
      <c r="M724" t="s">
        <v>77</v>
      </c>
      <c r="N724" t="s">
        <v>78</v>
      </c>
      <c r="O724" t="s">
        <v>74</v>
      </c>
      <c r="P724" t="s">
        <v>74</v>
      </c>
      <c r="Q724" t="s">
        <v>74</v>
      </c>
      <c r="R724" t="s">
        <v>74</v>
      </c>
      <c r="S724" t="s">
        <v>74</v>
      </c>
      <c r="T724" t="s">
        <v>11130</v>
      </c>
      <c r="U724" t="s">
        <v>11131</v>
      </c>
      <c r="V724" t="s">
        <v>11132</v>
      </c>
      <c r="W724" t="s">
        <v>11133</v>
      </c>
      <c r="X724" t="s">
        <v>11134</v>
      </c>
      <c r="Y724" t="s">
        <v>11135</v>
      </c>
      <c r="Z724" t="s">
        <v>11136</v>
      </c>
      <c r="AA724" t="s">
        <v>11137</v>
      </c>
      <c r="AB724" t="s">
        <v>11138</v>
      </c>
      <c r="AC724" t="s">
        <v>11139</v>
      </c>
      <c r="AD724" t="s">
        <v>1015</v>
      </c>
      <c r="AE724" t="s">
        <v>74</v>
      </c>
      <c r="AF724" t="s">
        <v>74</v>
      </c>
      <c r="AG724">
        <v>55</v>
      </c>
      <c r="AH724">
        <v>25</v>
      </c>
      <c r="AI724">
        <v>28</v>
      </c>
      <c r="AJ724">
        <v>0</v>
      </c>
      <c r="AK724">
        <v>4</v>
      </c>
      <c r="AL724" t="s">
        <v>2239</v>
      </c>
      <c r="AM724" t="s">
        <v>89</v>
      </c>
      <c r="AN724" t="s">
        <v>4047</v>
      </c>
      <c r="AO724" t="s">
        <v>5780</v>
      </c>
      <c r="AP724" t="s">
        <v>5806</v>
      </c>
      <c r="AQ724" t="s">
        <v>74</v>
      </c>
      <c r="AR724" t="s">
        <v>5781</v>
      </c>
      <c r="AS724" t="s">
        <v>5782</v>
      </c>
      <c r="AT724" t="s">
        <v>10970</v>
      </c>
      <c r="AU724">
        <v>2005</v>
      </c>
      <c r="AV724">
        <v>17</v>
      </c>
      <c r="AW724">
        <v>3</v>
      </c>
      <c r="AX724" t="s">
        <v>74</v>
      </c>
      <c r="AY724" t="s">
        <v>74</v>
      </c>
      <c r="AZ724" t="s">
        <v>74</v>
      </c>
      <c r="BA724" t="s">
        <v>74</v>
      </c>
      <c r="BB724">
        <v>443</v>
      </c>
      <c r="BC724">
        <v>452</v>
      </c>
      <c r="BD724" t="s">
        <v>74</v>
      </c>
      <c r="BE724" t="s">
        <v>11140</v>
      </c>
      <c r="BF724" t="str">
        <f>HYPERLINK("http://dx.doi.org/10.1017/S0954102005002877","http://dx.doi.org/10.1017/S0954102005002877")</f>
        <v>http://dx.doi.org/10.1017/S0954102005002877</v>
      </c>
      <c r="BG724" t="s">
        <v>74</v>
      </c>
      <c r="BH724" t="s">
        <v>74</v>
      </c>
      <c r="BI724">
        <v>10</v>
      </c>
      <c r="BJ724" t="s">
        <v>5784</v>
      </c>
      <c r="BK724" t="s">
        <v>98</v>
      </c>
      <c r="BL724" t="s">
        <v>5785</v>
      </c>
      <c r="BM724" t="s">
        <v>10972</v>
      </c>
      <c r="BN724" t="s">
        <v>74</v>
      </c>
      <c r="BO724" t="s">
        <v>74</v>
      </c>
      <c r="BP724" t="s">
        <v>74</v>
      </c>
      <c r="BQ724" t="s">
        <v>74</v>
      </c>
      <c r="BR724" t="s">
        <v>101</v>
      </c>
      <c r="BS724" t="s">
        <v>11141</v>
      </c>
      <c r="BT724" t="str">
        <f>HYPERLINK("https%3A%2F%2Fwww.webofscience.com%2Fwos%2Fwoscc%2Ffull-record%2FWOS:000232321300016","View Full Record in Web of Science")</f>
        <v>View Full Record in Web of Science</v>
      </c>
    </row>
    <row r="725" spans="1:72" x14ac:dyDescent="0.15">
      <c r="A725" t="s">
        <v>72</v>
      </c>
      <c r="B725" t="s">
        <v>11142</v>
      </c>
      <c r="C725" t="s">
        <v>74</v>
      </c>
      <c r="D725" t="s">
        <v>74</v>
      </c>
      <c r="E725" t="s">
        <v>74</v>
      </c>
      <c r="F725" t="s">
        <v>11142</v>
      </c>
      <c r="G725" t="s">
        <v>74</v>
      </c>
      <c r="H725" t="s">
        <v>74</v>
      </c>
      <c r="I725" t="s">
        <v>11143</v>
      </c>
      <c r="J725" t="s">
        <v>5776</v>
      </c>
      <c r="K725" t="s">
        <v>74</v>
      </c>
      <c r="L725" t="s">
        <v>74</v>
      </c>
      <c r="M725" t="s">
        <v>77</v>
      </c>
      <c r="N725" t="s">
        <v>78</v>
      </c>
      <c r="O725" t="s">
        <v>74</v>
      </c>
      <c r="P725" t="s">
        <v>74</v>
      </c>
      <c r="Q725" t="s">
        <v>74</v>
      </c>
      <c r="R725" t="s">
        <v>74</v>
      </c>
      <c r="S725" t="s">
        <v>74</v>
      </c>
      <c r="T725" t="s">
        <v>11144</v>
      </c>
      <c r="U725" t="s">
        <v>11145</v>
      </c>
      <c r="V725" t="s">
        <v>11146</v>
      </c>
      <c r="W725" t="s">
        <v>11147</v>
      </c>
      <c r="X725" t="s">
        <v>11148</v>
      </c>
      <c r="Y725" t="s">
        <v>11149</v>
      </c>
      <c r="Z725" t="s">
        <v>8458</v>
      </c>
      <c r="AA725" t="s">
        <v>11150</v>
      </c>
      <c r="AB725" t="s">
        <v>11151</v>
      </c>
      <c r="AC725" t="s">
        <v>74</v>
      </c>
      <c r="AD725" t="s">
        <v>74</v>
      </c>
      <c r="AE725" t="s">
        <v>74</v>
      </c>
      <c r="AF725" t="s">
        <v>74</v>
      </c>
      <c r="AG725">
        <v>18</v>
      </c>
      <c r="AH725">
        <v>196</v>
      </c>
      <c r="AI725">
        <v>225</v>
      </c>
      <c r="AJ725">
        <v>2</v>
      </c>
      <c r="AK725">
        <v>65</v>
      </c>
      <c r="AL725" t="s">
        <v>2239</v>
      </c>
      <c r="AM725" t="s">
        <v>89</v>
      </c>
      <c r="AN725" t="s">
        <v>5779</v>
      </c>
      <c r="AO725" t="s">
        <v>5780</v>
      </c>
      <c r="AP725" t="s">
        <v>74</v>
      </c>
      <c r="AQ725" t="s">
        <v>74</v>
      </c>
      <c r="AR725" t="s">
        <v>5781</v>
      </c>
      <c r="AS725" t="s">
        <v>5782</v>
      </c>
      <c r="AT725" t="s">
        <v>10970</v>
      </c>
      <c r="AU725">
        <v>2005</v>
      </c>
      <c r="AV725">
        <v>17</v>
      </c>
      <c r="AW725">
        <v>3</v>
      </c>
      <c r="AX725" t="s">
        <v>74</v>
      </c>
      <c r="AY725" t="s">
        <v>74</v>
      </c>
      <c r="AZ725" t="s">
        <v>74</v>
      </c>
      <c r="BA725" t="s">
        <v>74</v>
      </c>
      <c r="BB725">
        <v>453</v>
      </c>
      <c r="BC725">
        <v>460</v>
      </c>
      <c r="BD725" t="s">
        <v>74</v>
      </c>
      <c r="BE725" t="s">
        <v>11152</v>
      </c>
      <c r="BF725" t="str">
        <f>HYPERLINK("http://dx.doi.org/10.1017/S0954102005002889","http://dx.doi.org/10.1017/S0954102005002889")</f>
        <v>http://dx.doi.org/10.1017/S0954102005002889</v>
      </c>
      <c r="BG725" t="s">
        <v>74</v>
      </c>
      <c r="BH725" t="s">
        <v>74</v>
      </c>
      <c r="BI725">
        <v>8</v>
      </c>
      <c r="BJ725" t="s">
        <v>5784</v>
      </c>
      <c r="BK725" t="s">
        <v>98</v>
      </c>
      <c r="BL725" t="s">
        <v>5785</v>
      </c>
      <c r="BM725" t="s">
        <v>10972</v>
      </c>
      <c r="BN725" t="s">
        <v>74</v>
      </c>
      <c r="BO725" t="s">
        <v>2276</v>
      </c>
      <c r="BP725" t="s">
        <v>74</v>
      </c>
      <c r="BQ725" t="s">
        <v>74</v>
      </c>
      <c r="BR725" t="s">
        <v>101</v>
      </c>
      <c r="BS725" t="s">
        <v>11153</v>
      </c>
      <c r="BT725" t="str">
        <f>HYPERLINK("https%3A%2F%2Fwww.webofscience.com%2Fwos%2Fwoscc%2Ffull-record%2FWOS:000232321300017","View Full Record in Web of Science")</f>
        <v>View Full Record in Web of Science</v>
      </c>
    </row>
    <row r="726" spans="1:72" x14ac:dyDescent="0.15">
      <c r="A726" t="s">
        <v>72</v>
      </c>
      <c r="B726" t="s">
        <v>11154</v>
      </c>
      <c r="C726" t="s">
        <v>74</v>
      </c>
      <c r="D726" t="s">
        <v>74</v>
      </c>
      <c r="E726" t="s">
        <v>74</v>
      </c>
      <c r="F726" t="s">
        <v>11154</v>
      </c>
      <c r="G726" t="s">
        <v>74</v>
      </c>
      <c r="H726" t="s">
        <v>74</v>
      </c>
      <c r="I726" t="s">
        <v>11155</v>
      </c>
      <c r="J726" t="s">
        <v>5776</v>
      </c>
      <c r="K726" t="s">
        <v>74</v>
      </c>
      <c r="L726" t="s">
        <v>74</v>
      </c>
      <c r="M726" t="s">
        <v>77</v>
      </c>
      <c r="N726" t="s">
        <v>78</v>
      </c>
      <c r="O726" t="s">
        <v>74</v>
      </c>
      <c r="P726" t="s">
        <v>74</v>
      </c>
      <c r="Q726" t="s">
        <v>74</v>
      </c>
      <c r="R726" t="s">
        <v>74</v>
      </c>
      <c r="S726" t="s">
        <v>74</v>
      </c>
      <c r="T726" t="s">
        <v>11156</v>
      </c>
      <c r="U726" t="s">
        <v>11157</v>
      </c>
      <c r="V726" t="s">
        <v>11158</v>
      </c>
      <c r="W726" t="s">
        <v>11159</v>
      </c>
      <c r="X726" t="s">
        <v>620</v>
      </c>
      <c r="Y726" t="s">
        <v>11160</v>
      </c>
      <c r="Z726" t="s">
        <v>11161</v>
      </c>
      <c r="AA726" t="s">
        <v>11162</v>
      </c>
      <c r="AB726" t="s">
        <v>74</v>
      </c>
      <c r="AC726" t="s">
        <v>74</v>
      </c>
      <c r="AD726" t="s">
        <v>74</v>
      </c>
      <c r="AE726" t="s">
        <v>74</v>
      </c>
      <c r="AF726" t="s">
        <v>74</v>
      </c>
      <c r="AG726">
        <v>33</v>
      </c>
      <c r="AH726">
        <v>22</v>
      </c>
      <c r="AI726">
        <v>23</v>
      </c>
      <c r="AJ726">
        <v>0</v>
      </c>
      <c r="AK726">
        <v>8</v>
      </c>
      <c r="AL726" t="s">
        <v>2239</v>
      </c>
      <c r="AM726" t="s">
        <v>89</v>
      </c>
      <c r="AN726" t="s">
        <v>4047</v>
      </c>
      <c r="AO726" t="s">
        <v>5780</v>
      </c>
      <c r="AP726" t="s">
        <v>5806</v>
      </c>
      <c r="AQ726" t="s">
        <v>74</v>
      </c>
      <c r="AR726" t="s">
        <v>5781</v>
      </c>
      <c r="AS726" t="s">
        <v>5782</v>
      </c>
      <c r="AT726" t="s">
        <v>10970</v>
      </c>
      <c r="AU726">
        <v>2005</v>
      </c>
      <c r="AV726">
        <v>17</v>
      </c>
      <c r="AW726">
        <v>3</v>
      </c>
      <c r="AX726" t="s">
        <v>74</v>
      </c>
      <c r="AY726" t="s">
        <v>74</v>
      </c>
      <c r="AZ726" t="s">
        <v>74</v>
      </c>
      <c r="BA726" t="s">
        <v>74</v>
      </c>
      <c r="BB726">
        <v>461</v>
      </c>
      <c r="BC726">
        <v>474</v>
      </c>
      <c r="BD726" t="s">
        <v>74</v>
      </c>
      <c r="BE726" t="s">
        <v>11163</v>
      </c>
      <c r="BF726" t="str">
        <f>HYPERLINK("http://dx.doi.org/10.1017/S0954102005002890","http://dx.doi.org/10.1017/S0954102005002890")</f>
        <v>http://dx.doi.org/10.1017/S0954102005002890</v>
      </c>
      <c r="BG726" t="s">
        <v>74</v>
      </c>
      <c r="BH726" t="s">
        <v>74</v>
      </c>
      <c r="BI726">
        <v>14</v>
      </c>
      <c r="BJ726" t="s">
        <v>5784</v>
      </c>
      <c r="BK726" t="s">
        <v>98</v>
      </c>
      <c r="BL726" t="s">
        <v>5785</v>
      </c>
      <c r="BM726" t="s">
        <v>10972</v>
      </c>
      <c r="BN726" t="s">
        <v>74</v>
      </c>
      <c r="BO726" t="s">
        <v>74</v>
      </c>
      <c r="BP726" t="s">
        <v>74</v>
      </c>
      <c r="BQ726" t="s">
        <v>74</v>
      </c>
      <c r="BR726" t="s">
        <v>101</v>
      </c>
      <c r="BS726" t="s">
        <v>11164</v>
      </c>
      <c r="BT726" t="str">
        <f>HYPERLINK("https%3A%2F%2Fwww.webofscience.com%2Fwos%2Fwoscc%2Ffull-record%2FWOS:000232321300018","View Full Record in Web of Science")</f>
        <v>View Full Record in Web of Science</v>
      </c>
    </row>
    <row r="727" spans="1:72" x14ac:dyDescent="0.15">
      <c r="A727" t="s">
        <v>72</v>
      </c>
      <c r="B727" t="s">
        <v>11165</v>
      </c>
      <c r="C727" t="s">
        <v>74</v>
      </c>
      <c r="D727" t="s">
        <v>74</v>
      </c>
      <c r="E727" t="s">
        <v>74</v>
      </c>
      <c r="F727" t="s">
        <v>11165</v>
      </c>
      <c r="G727" t="s">
        <v>74</v>
      </c>
      <c r="H727" t="s">
        <v>74</v>
      </c>
      <c r="I727" t="s">
        <v>11166</v>
      </c>
      <c r="J727" t="s">
        <v>8301</v>
      </c>
      <c r="K727" t="s">
        <v>74</v>
      </c>
      <c r="L727" t="s">
        <v>74</v>
      </c>
      <c r="M727" t="s">
        <v>77</v>
      </c>
      <c r="N727" t="s">
        <v>78</v>
      </c>
      <c r="O727" t="s">
        <v>74</v>
      </c>
      <c r="P727" t="s">
        <v>74</v>
      </c>
      <c r="Q727" t="s">
        <v>74</v>
      </c>
      <c r="R727" t="s">
        <v>74</v>
      </c>
      <c r="S727" t="s">
        <v>74</v>
      </c>
      <c r="T727" t="s">
        <v>11167</v>
      </c>
      <c r="U727" t="s">
        <v>11168</v>
      </c>
      <c r="V727" t="s">
        <v>11169</v>
      </c>
      <c r="W727" t="s">
        <v>11170</v>
      </c>
      <c r="X727" t="s">
        <v>11171</v>
      </c>
      <c r="Y727" t="s">
        <v>11172</v>
      </c>
      <c r="Z727" t="s">
        <v>11173</v>
      </c>
      <c r="AA727" t="s">
        <v>74</v>
      </c>
      <c r="AB727" t="s">
        <v>74</v>
      </c>
      <c r="AC727" t="s">
        <v>74</v>
      </c>
      <c r="AD727" t="s">
        <v>74</v>
      </c>
      <c r="AE727" t="s">
        <v>74</v>
      </c>
      <c r="AF727" t="s">
        <v>74</v>
      </c>
      <c r="AG727">
        <v>28</v>
      </c>
      <c r="AH727">
        <v>36</v>
      </c>
      <c r="AI727">
        <v>38</v>
      </c>
      <c r="AJ727">
        <v>0</v>
      </c>
      <c r="AK727">
        <v>6</v>
      </c>
      <c r="AL727" t="s">
        <v>622</v>
      </c>
      <c r="AM727" t="s">
        <v>140</v>
      </c>
      <c r="AN727" t="s">
        <v>623</v>
      </c>
      <c r="AO727" t="s">
        <v>8311</v>
      </c>
      <c r="AP727" t="s">
        <v>8312</v>
      </c>
      <c r="AQ727" t="s">
        <v>74</v>
      </c>
      <c r="AR727" t="s">
        <v>8313</v>
      </c>
      <c r="AS727" t="s">
        <v>8314</v>
      </c>
      <c r="AT727" t="s">
        <v>10970</v>
      </c>
      <c r="AU727">
        <v>2005</v>
      </c>
      <c r="AV727">
        <v>39</v>
      </c>
      <c r="AW727">
        <v>28</v>
      </c>
      <c r="AX727" t="s">
        <v>74</v>
      </c>
      <c r="AY727" t="s">
        <v>74</v>
      </c>
      <c r="AZ727" t="s">
        <v>74</v>
      </c>
      <c r="BA727" t="s">
        <v>74</v>
      </c>
      <c r="BB727">
        <v>5041</v>
      </c>
      <c r="BC727">
        <v>5050</v>
      </c>
      <c r="BD727" t="s">
        <v>74</v>
      </c>
      <c r="BE727" t="s">
        <v>11174</v>
      </c>
      <c r="BF727" t="str">
        <f>HYPERLINK("http://dx.doi.org/10.1016/j.atmosenv.2005.05.010","http://dx.doi.org/10.1016/j.atmosenv.2005.05.010")</f>
        <v>http://dx.doi.org/10.1016/j.atmosenv.2005.05.010</v>
      </c>
      <c r="BG727" t="s">
        <v>74</v>
      </c>
      <c r="BH727" t="s">
        <v>74</v>
      </c>
      <c r="BI727">
        <v>10</v>
      </c>
      <c r="BJ727" t="s">
        <v>6080</v>
      </c>
      <c r="BK727" t="s">
        <v>98</v>
      </c>
      <c r="BL727" t="s">
        <v>6081</v>
      </c>
      <c r="BM727" t="s">
        <v>11175</v>
      </c>
      <c r="BN727" t="s">
        <v>74</v>
      </c>
      <c r="BO727" t="s">
        <v>74</v>
      </c>
      <c r="BP727" t="s">
        <v>74</v>
      </c>
      <c r="BQ727" t="s">
        <v>74</v>
      </c>
      <c r="BR727" t="s">
        <v>101</v>
      </c>
      <c r="BS727" t="s">
        <v>11176</v>
      </c>
      <c r="BT727" t="str">
        <f>HYPERLINK("https%3A%2F%2Fwww.webofscience.com%2Fwos%2Fwoscc%2Ffull-record%2FWOS:000231885700004","View Full Record in Web of Science")</f>
        <v>View Full Record in Web of Science</v>
      </c>
    </row>
    <row r="728" spans="1:72" x14ac:dyDescent="0.15">
      <c r="A728" t="s">
        <v>72</v>
      </c>
      <c r="B728" t="s">
        <v>11177</v>
      </c>
      <c r="C728" t="s">
        <v>74</v>
      </c>
      <c r="D728" t="s">
        <v>74</v>
      </c>
      <c r="E728" t="s">
        <v>74</v>
      </c>
      <c r="F728" t="s">
        <v>11177</v>
      </c>
      <c r="G728" t="s">
        <v>74</v>
      </c>
      <c r="H728" t="s">
        <v>74</v>
      </c>
      <c r="I728" t="s">
        <v>11178</v>
      </c>
      <c r="J728" t="s">
        <v>11179</v>
      </c>
      <c r="K728" t="s">
        <v>74</v>
      </c>
      <c r="L728" t="s">
        <v>74</v>
      </c>
      <c r="M728" t="s">
        <v>77</v>
      </c>
      <c r="N728" t="s">
        <v>289</v>
      </c>
      <c r="O728" t="s">
        <v>74</v>
      </c>
      <c r="P728" t="s">
        <v>74</v>
      </c>
      <c r="Q728" t="s">
        <v>74</v>
      </c>
      <c r="R728" t="s">
        <v>74</v>
      </c>
      <c r="S728" t="s">
        <v>74</v>
      </c>
      <c r="T728" t="s">
        <v>11180</v>
      </c>
      <c r="U728" t="s">
        <v>11181</v>
      </c>
      <c r="V728" t="s">
        <v>11182</v>
      </c>
      <c r="W728" t="s">
        <v>11183</v>
      </c>
      <c r="X728" t="s">
        <v>74</v>
      </c>
      <c r="Y728" t="s">
        <v>11184</v>
      </c>
      <c r="Z728" t="s">
        <v>11185</v>
      </c>
      <c r="AA728" t="s">
        <v>74</v>
      </c>
      <c r="AB728" t="s">
        <v>11186</v>
      </c>
      <c r="AC728" t="s">
        <v>74</v>
      </c>
      <c r="AD728" t="s">
        <v>74</v>
      </c>
      <c r="AE728" t="s">
        <v>74</v>
      </c>
      <c r="AF728" t="s">
        <v>74</v>
      </c>
      <c r="AG728">
        <v>174</v>
      </c>
      <c r="AH728">
        <v>34</v>
      </c>
      <c r="AI728">
        <v>36</v>
      </c>
      <c r="AJ728">
        <v>0</v>
      </c>
      <c r="AK728">
        <v>13</v>
      </c>
      <c r="AL728" t="s">
        <v>1891</v>
      </c>
      <c r="AM728" t="s">
        <v>140</v>
      </c>
      <c r="AN728" t="s">
        <v>1892</v>
      </c>
      <c r="AO728" t="s">
        <v>11187</v>
      </c>
      <c r="AP728" t="s">
        <v>11188</v>
      </c>
      <c r="AQ728" t="s">
        <v>74</v>
      </c>
      <c r="AR728" t="s">
        <v>11189</v>
      </c>
      <c r="AS728" t="s">
        <v>11190</v>
      </c>
      <c r="AT728" t="s">
        <v>10970</v>
      </c>
      <c r="AU728">
        <v>2005</v>
      </c>
      <c r="AV728">
        <v>86</v>
      </c>
      <c r="AW728">
        <v>1</v>
      </c>
      <c r="AX728" t="s">
        <v>74</v>
      </c>
      <c r="AY728" t="s">
        <v>74</v>
      </c>
      <c r="AZ728" t="s">
        <v>74</v>
      </c>
      <c r="BA728" t="s">
        <v>74</v>
      </c>
      <c r="BB728">
        <v>95</v>
      </c>
      <c r="BC728">
        <v>115</v>
      </c>
      <c r="BD728" t="s">
        <v>74</v>
      </c>
      <c r="BE728" t="s">
        <v>11191</v>
      </c>
      <c r="BF728" t="str">
        <f>HYPERLINK("http://dx.doi.org/10.1111/j.1095-8312.2005.00511.x","http://dx.doi.org/10.1111/j.1095-8312.2005.00511.x")</f>
        <v>http://dx.doi.org/10.1111/j.1095-8312.2005.00511.x</v>
      </c>
      <c r="BG728" t="s">
        <v>74</v>
      </c>
      <c r="BH728" t="s">
        <v>74</v>
      </c>
      <c r="BI728">
        <v>21</v>
      </c>
      <c r="BJ728" t="s">
        <v>11192</v>
      </c>
      <c r="BK728" t="s">
        <v>98</v>
      </c>
      <c r="BL728" t="s">
        <v>11192</v>
      </c>
      <c r="BM728" t="s">
        <v>11193</v>
      </c>
      <c r="BN728" t="s">
        <v>74</v>
      </c>
      <c r="BO728" t="s">
        <v>1900</v>
      </c>
      <c r="BP728" t="s">
        <v>74</v>
      </c>
      <c r="BQ728" t="s">
        <v>74</v>
      </c>
      <c r="BR728" t="s">
        <v>101</v>
      </c>
      <c r="BS728" t="s">
        <v>11194</v>
      </c>
      <c r="BT728" t="str">
        <f>HYPERLINK("https%3A%2F%2Fwww.webofscience.com%2Fwos%2Fwoscc%2Ffull-record%2FWOS:000231771900007","View Full Record in Web of Science")</f>
        <v>View Full Record in Web of Science</v>
      </c>
    </row>
    <row r="729" spans="1:72" x14ac:dyDescent="0.15">
      <c r="A729" t="s">
        <v>72</v>
      </c>
      <c r="B729" t="s">
        <v>11195</v>
      </c>
      <c r="C729" t="s">
        <v>74</v>
      </c>
      <c r="D729" t="s">
        <v>74</v>
      </c>
      <c r="E729" t="s">
        <v>74</v>
      </c>
      <c r="F729" t="s">
        <v>11195</v>
      </c>
      <c r="G729" t="s">
        <v>74</v>
      </c>
      <c r="H729" t="s">
        <v>74</v>
      </c>
      <c r="I729" t="s">
        <v>11196</v>
      </c>
      <c r="J729" t="s">
        <v>11197</v>
      </c>
      <c r="K729" t="s">
        <v>74</v>
      </c>
      <c r="L729" t="s">
        <v>74</v>
      </c>
      <c r="M729" t="s">
        <v>77</v>
      </c>
      <c r="N729" t="s">
        <v>78</v>
      </c>
      <c r="O729" t="s">
        <v>74</v>
      </c>
      <c r="P729" t="s">
        <v>74</v>
      </c>
      <c r="Q729" t="s">
        <v>74</v>
      </c>
      <c r="R729" t="s">
        <v>74</v>
      </c>
      <c r="S729" t="s">
        <v>74</v>
      </c>
      <c r="T729" t="s">
        <v>11198</v>
      </c>
      <c r="U729" t="s">
        <v>11199</v>
      </c>
      <c r="V729" t="s">
        <v>11200</v>
      </c>
      <c r="W729" t="s">
        <v>11201</v>
      </c>
      <c r="X729" t="s">
        <v>11202</v>
      </c>
      <c r="Y729" t="s">
        <v>11203</v>
      </c>
      <c r="Z729" t="s">
        <v>11204</v>
      </c>
      <c r="AA729" t="s">
        <v>11205</v>
      </c>
      <c r="AB729" t="s">
        <v>11206</v>
      </c>
      <c r="AC729" t="s">
        <v>74</v>
      </c>
      <c r="AD729" t="s">
        <v>74</v>
      </c>
      <c r="AE729" t="s">
        <v>74</v>
      </c>
      <c r="AF729" t="s">
        <v>74</v>
      </c>
      <c r="AG729">
        <v>37</v>
      </c>
      <c r="AH729">
        <v>10</v>
      </c>
      <c r="AI729">
        <v>10</v>
      </c>
      <c r="AJ729">
        <v>0</v>
      </c>
      <c r="AK729">
        <v>6</v>
      </c>
      <c r="AL729" t="s">
        <v>88</v>
      </c>
      <c r="AM729" t="s">
        <v>89</v>
      </c>
      <c r="AN729" t="s">
        <v>3984</v>
      </c>
      <c r="AO729" t="s">
        <v>11207</v>
      </c>
      <c r="AP729" t="s">
        <v>11208</v>
      </c>
      <c r="AQ729" t="s">
        <v>74</v>
      </c>
      <c r="AR729" t="s">
        <v>11209</v>
      </c>
      <c r="AS729" t="s">
        <v>11210</v>
      </c>
      <c r="AT729" t="s">
        <v>10970</v>
      </c>
      <c r="AU729">
        <v>2005</v>
      </c>
      <c r="AV729">
        <v>321</v>
      </c>
      <c r="AW729">
        <v>3</v>
      </c>
      <c r="AX729" t="s">
        <v>74</v>
      </c>
      <c r="AY729" t="s">
        <v>74</v>
      </c>
      <c r="AZ729" t="s">
        <v>74</v>
      </c>
      <c r="BA729" t="s">
        <v>74</v>
      </c>
      <c r="BB729">
        <v>401</v>
      </c>
      <c r="BC729">
        <v>410</v>
      </c>
      <c r="BD729" t="s">
        <v>74</v>
      </c>
      <c r="BE729" t="s">
        <v>11211</v>
      </c>
      <c r="BF729" t="str">
        <f>HYPERLINK("http://dx.doi.org/10.1007/s00441-005-1139-z","http://dx.doi.org/10.1007/s00441-005-1139-z")</f>
        <v>http://dx.doi.org/10.1007/s00441-005-1139-z</v>
      </c>
      <c r="BG729" t="s">
        <v>74</v>
      </c>
      <c r="BH729" t="s">
        <v>74</v>
      </c>
      <c r="BI729">
        <v>10</v>
      </c>
      <c r="BJ729" t="s">
        <v>11212</v>
      </c>
      <c r="BK729" t="s">
        <v>98</v>
      </c>
      <c r="BL729" t="s">
        <v>11212</v>
      </c>
      <c r="BM729" t="s">
        <v>11213</v>
      </c>
      <c r="BN729" t="s">
        <v>74</v>
      </c>
      <c r="BO729" t="s">
        <v>74</v>
      </c>
      <c r="BP729" t="s">
        <v>74</v>
      </c>
      <c r="BQ729" t="s">
        <v>74</v>
      </c>
      <c r="BR729" t="s">
        <v>101</v>
      </c>
      <c r="BS729" t="s">
        <v>11214</v>
      </c>
      <c r="BT729" t="str">
        <f>HYPERLINK("https%3A%2F%2Fwww.webofscience.com%2Fwos%2Fwoscc%2Ffull-record%2FWOS:000231460400008","View Full Record in Web of Science")</f>
        <v>View Full Record in Web of Science</v>
      </c>
    </row>
    <row r="730" spans="1:72" x14ac:dyDescent="0.15">
      <c r="A730" t="s">
        <v>72</v>
      </c>
      <c r="B730" t="s">
        <v>11215</v>
      </c>
      <c r="C730" t="s">
        <v>74</v>
      </c>
      <c r="D730" t="s">
        <v>74</v>
      </c>
      <c r="E730" t="s">
        <v>74</v>
      </c>
      <c r="F730" t="s">
        <v>11215</v>
      </c>
      <c r="G730" t="s">
        <v>74</v>
      </c>
      <c r="H730" t="s">
        <v>74</v>
      </c>
      <c r="I730" t="s">
        <v>11216</v>
      </c>
      <c r="J730" t="s">
        <v>11217</v>
      </c>
      <c r="K730" t="s">
        <v>74</v>
      </c>
      <c r="L730" t="s">
        <v>74</v>
      </c>
      <c r="M730" t="s">
        <v>77</v>
      </c>
      <c r="N730" t="s">
        <v>2596</v>
      </c>
      <c r="O730" t="s">
        <v>74</v>
      </c>
      <c r="P730" t="s">
        <v>74</v>
      </c>
      <c r="Q730" t="s">
        <v>74</v>
      </c>
      <c r="R730" t="s">
        <v>74</v>
      </c>
      <c r="S730" t="s">
        <v>74</v>
      </c>
      <c r="T730" t="s">
        <v>74</v>
      </c>
      <c r="U730" t="s">
        <v>74</v>
      </c>
      <c r="V730" t="s">
        <v>74</v>
      </c>
      <c r="W730" t="s">
        <v>74</v>
      </c>
      <c r="X730" t="s">
        <v>74</v>
      </c>
      <c r="Y730" t="s">
        <v>74</v>
      </c>
      <c r="Z730" t="s">
        <v>74</v>
      </c>
      <c r="AA730" t="s">
        <v>74</v>
      </c>
      <c r="AB730" t="s">
        <v>74</v>
      </c>
      <c r="AC730" t="s">
        <v>74</v>
      </c>
      <c r="AD730" t="s">
        <v>74</v>
      </c>
      <c r="AE730" t="s">
        <v>74</v>
      </c>
      <c r="AF730" t="s">
        <v>74</v>
      </c>
      <c r="AG730">
        <v>0</v>
      </c>
      <c r="AH730">
        <v>0</v>
      </c>
      <c r="AI730">
        <v>0</v>
      </c>
      <c r="AJ730">
        <v>0</v>
      </c>
      <c r="AK730">
        <v>0</v>
      </c>
      <c r="AL730" t="s">
        <v>11218</v>
      </c>
      <c r="AM730" t="s">
        <v>11219</v>
      </c>
      <c r="AN730" t="s">
        <v>11220</v>
      </c>
      <c r="AO730" t="s">
        <v>11221</v>
      </c>
      <c r="AP730" t="s">
        <v>74</v>
      </c>
      <c r="AQ730" t="s">
        <v>74</v>
      </c>
      <c r="AR730" t="s">
        <v>11222</v>
      </c>
      <c r="AS730" t="s">
        <v>11223</v>
      </c>
      <c r="AT730" t="s">
        <v>10970</v>
      </c>
      <c r="AU730">
        <v>2005</v>
      </c>
      <c r="AV730">
        <v>75</v>
      </c>
      <c r="AW730">
        <v>9</v>
      </c>
      <c r="AX730" t="s">
        <v>74</v>
      </c>
      <c r="AY730" t="s">
        <v>74</v>
      </c>
      <c r="AZ730" t="s">
        <v>74</v>
      </c>
      <c r="BA730" t="s">
        <v>74</v>
      </c>
      <c r="BB730">
        <v>24</v>
      </c>
      <c r="BC730">
        <v>26</v>
      </c>
      <c r="BD730" t="s">
        <v>74</v>
      </c>
      <c r="BE730" t="s">
        <v>74</v>
      </c>
      <c r="BF730" t="s">
        <v>74</v>
      </c>
      <c r="BG730" t="s">
        <v>74</v>
      </c>
      <c r="BH730" t="s">
        <v>74</v>
      </c>
      <c r="BI730">
        <v>3</v>
      </c>
      <c r="BJ730" t="s">
        <v>11224</v>
      </c>
      <c r="BK730" t="s">
        <v>98</v>
      </c>
      <c r="BL730" t="s">
        <v>509</v>
      </c>
      <c r="BM730" t="s">
        <v>11225</v>
      </c>
      <c r="BN730" t="s">
        <v>74</v>
      </c>
      <c r="BO730" t="s">
        <v>74</v>
      </c>
      <c r="BP730" t="s">
        <v>74</v>
      </c>
      <c r="BQ730" t="s">
        <v>74</v>
      </c>
      <c r="BR730" t="s">
        <v>101</v>
      </c>
      <c r="BS730" t="s">
        <v>11226</v>
      </c>
      <c r="BT730" t="str">
        <f>HYPERLINK("https%3A%2F%2Fwww.webofscience.com%2Fwos%2Fwoscc%2Ffull-record%2FWOS:000231766900008","View Full Record in Web of Science")</f>
        <v>View Full Record in Web of Science</v>
      </c>
    </row>
    <row r="731" spans="1:72" x14ac:dyDescent="0.15">
      <c r="A731" t="s">
        <v>72</v>
      </c>
      <c r="B731" t="s">
        <v>11227</v>
      </c>
      <c r="C731" t="s">
        <v>74</v>
      </c>
      <c r="D731" t="s">
        <v>74</v>
      </c>
      <c r="E731" t="s">
        <v>74</v>
      </c>
      <c r="F731" t="s">
        <v>11227</v>
      </c>
      <c r="G731" t="s">
        <v>74</v>
      </c>
      <c r="H731" t="s">
        <v>74</v>
      </c>
      <c r="I731" t="s">
        <v>11228</v>
      </c>
      <c r="J731" t="s">
        <v>6038</v>
      </c>
      <c r="K731" t="s">
        <v>74</v>
      </c>
      <c r="L731" t="s">
        <v>74</v>
      </c>
      <c r="M731" t="s">
        <v>77</v>
      </c>
      <c r="N731" t="s">
        <v>78</v>
      </c>
      <c r="O731" t="s">
        <v>74</v>
      </c>
      <c r="P731" t="s">
        <v>74</v>
      </c>
      <c r="Q731" t="s">
        <v>74</v>
      </c>
      <c r="R731" t="s">
        <v>74</v>
      </c>
      <c r="S731" t="s">
        <v>74</v>
      </c>
      <c r="T731" t="s">
        <v>74</v>
      </c>
      <c r="U731" t="s">
        <v>11229</v>
      </c>
      <c r="V731" t="s">
        <v>11230</v>
      </c>
      <c r="W731" t="s">
        <v>11231</v>
      </c>
      <c r="X731" t="s">
        <v>11232</v>
      </c>
      <c r="Y731" t="s">
        <v>11233</v>
      </c>
      <c r="Z731" t="s">
        <v>11234</v>
      </c>
      <c r="AA731" t="s">
        <v>11235</v>
      </c>
      <c r="AB731" t="s">
        <v>11236</v>
      </c>
      <c r="AC731" t="s">
        <v>74</v>
      </c>
      <c r="AD731" t="s">
        <v>74</v>
      </c>
      <c r="AE731" t="s">
        <v>74</v>
      </c>
      <c r="AF731" t="s">
        <v>74</v>
      </c>
      <c r="AG731">
        <v>32</v>
      </c>
      <c r="AH731">
        <v>93</v>
      </c>
      <c r="AI731">
        <v>100</v>
      </c>
      <c r="AJ731">
        <v>2</v>
      </c>
      <c r="AK731">
        <v>19</v>
      </c>
      <c r="AL731" t="s">
        <v>88</v>
      </c>
      <c r="AM731" t="s">
        <v>89</v>
      </c>
      <c r="AN731" t="s">
        <v>90</v>
      </c>
      <c r="AO731" t="s">
        <v>6046</v>
      </c>
      <c r="AP731" t="s">
        <v>6047</v>
      </c>
      <c r="AQ731" t="s">
        <v>74</v>
      </c>
      <c r="AR731" t="s">
        <v>6048</v>
      </c>
      <c r="AS731" t="s">
        <v>6049</v>
      </c>
      <c r="AT731" t="s">
        <v>10970</v>
      </c>
      <c r="AU731">
        <v>2005</v>
      </c>
      <c r="AV731">
        <v>25</v>
      </c>
      <c r="AW731">
        <v>4</v>
      </c>
      <c r="AX731" t="s">
        <v>74</v>
      </c>
      <c r="AY731" t="s">
        <v>74</v>
      </c>
      <c r="AZ731" t="s">
        <v>74</v>
      </c>
      <c r="BA731" t="s">
        <v>74</v>
      </c>
      <c r="BB731">
        <v>415</v>
      </c>
      <c r="BC731">
        <v>426</v>
      </c>
      <c r="BD731" t="s">
        <v>74</v>
      </c>
      <c r="BE731" t="s">
        <v>11237</v>
      </c>
      <c r="BF731" t="str">
        <f>HYPERLINK("http://dx.doi.org/10.1007/s00382-005-0032-5","http://dx.doi.org/10.1007/s00382-005-0032-5")</f>
        <v>http://dx.doi.org/10.1007/s00382-005-0032-5</v>
      </c>
      <c r="BG731" t="s">
        <v>74</v>
      </c>
      <c r="BH731" t="s">
        <v>74</v>
      </c>
      <c r="BI731">
        <v>12</v>
      </c>
      <c r="BJ731" t="s">
        <v>2033</v>
      </c>
      <c r="BK731" t="s">
        <v>98</v>
      </c>
      <c r="BL731" t="s">
        <v>2033</v>
      </c>
      <c r="BM731" t="s">
        <v>11238</v>
      </c>
      <c r="BN731" t="s">
        <v>74</v>
      </c>
      <c r="BO731" t="s">
        <v>74</v>
      </c>
      <c r="BP731" t="s">
        <v>74</v>
      </c>
      <c r="BQ731" t="s">
        <v>74</v>
      </c>
      <c r="BR731" t="s">
        <v>101</v>
      </c>
      <c r="BS731" t="s">
        <v>11239</v>
      </c>
      <c r="BT731" t="str">
        <f>HYPERLINK("https%3A%2F%2Fwww.webofscience.com%2Fwos%2Fwoscc%2Ffull-record%2FWOS:000232374400006","View Full Record in Web of Science")</f>
        <v>View Full Record in Web of Science</v>
      </c>
    </row>
    <row r="732" spans="1:72" x14ac:dyDescent="0.15">
      <c r="A732" t="s">
        <v>72</v>
      </c>
      <c r="B732" t="s">
        <v>11240</v>
      </c>
      <c r="C732" t="s">
        <v>74</v>
      </c>
      <c r="D732" t="s">
        <v>74</v>
      </c>
      <c r="E732" t="s">
        <v>74</v>
      </c>
      <c r="F732" t="s">
        <v>11240</v>
      </c>
      <c r="G732" t="s">
        <v>74</v>
      </c>
      <c r="H732" t="s">
        <v>74</v>
      </c>
      <c r="I732" t="s">
        <v>11241</v>
      </c>
      <c r="J732" t="s">
        <v>6038</v>
      </c>
      <c r="K732" t="s">
        <v>74</v>
      </c>
      <c r="L732" t="s">
        <v>74</v>
      </c>
      <c r="M732" t="s">
        <v>77</v>
      </c>
      <c r="N732" t="s">
        <v>78</v>
      </c>
      <c r="O732" t="s">
        <v>74</v>
      </c>
      <c r="P732" t="s">
        <v>74</v>
      </c>
      <c r="Q732" t="s">
        <v>74</v>
      </c>
      <c r="R732" t="s">
        <v>74</v>
      </c>
      <c r="S732" t="s">
        <v>74</v>
      </c>
      <c r="T732" t="s">
        <v>74</v>
      </c>
      <c r="U732" t="s">
        <v>11242</v>
      </c>
      <c r="V732" t="s">
        <v>11243</v>
      </c>
      <c r="W732" t="s">
        <v>11244</v>
      </c>
      <c r="X732" t="s">
        <v>11245</v>
      </c>
      <c r="Y732" t="s">
        <v>11246</v>
      </c>
      <c r="Z732" t="s">
        <v>11247</v>
      </c>
      <c r="AA732" t="s">
        <v>74</v>
      </c>
      <c r="AB732" t="s">
        <v>74</v>
      </c>
      <c r="AC732" t="s">
        <v>74</v>
      </c>
      <c r="AD732" t="s">
        <v>74</v>
      </c>
      <c r="AE732" t="s">
        <v>74</v>
      </c>
      <c r="AF732" t="s">
        <v>74</v>
      </c>
      <c r="AG732">
        <v>35</v>
      </c>
      <c r="AH732">
        <v>1</v>
      </c>
      <c r="AI732">
        <v>2</v>
      </c>
      <c r="AJ732">
        <v>0</v>
      </c>
      <c r="AK732">
        <v>0</v>
      </c>
      <c r="AL732" t="s">
        <v>88</v>
      </c>
      <c r="AM732" t="s">
        <v>89</v>
      </c>
      <c r="AN732" t="s">
        <v>90</v>
      </c>
      <c r="AO732" t="s">
        <v>6046</v>
      </c>
      <c r="AP732" t="s">
        <v>6047</v>
      </c>
      <c r="AQ732" t="s">
        <v>74</v>
      </c>
      <c r="AR732" t="s">
        <v>6048</v>
      </c>
      <c r="AS732" t="s">
        <v>6049</v>
      </c>
      <c r="AT732" t="s">
        <v>10970</v>
      </c>
      <c r="AU732">
        <v>2005</v>
      </c>
      <c r="AV732">
        <v>25</v>
      </c>
      <c r="AW732">
        <v>4</v>
      </c>
      <c r="AX732" t="s">
        <v>74</v>
      </c>
      <c r="AY732" t="s">
        <v>74</v>
      </c>
      <c r="AZ732" t="s">
        <v>74</v>
      </c>
      <c r="BA732" t="s">
        <v>74</v>
      </c>
      <c r="BB732">
        <v>427</v>
      </c>
      <c r="BC732">
        <v>445</v>
      </c>
      <c r="BD732" t="s">
        <v>74</v>
      </c>
      <c r="BE732" t="s">
        <v>11248</v>
      </c>
      <c r="BF732" t="str">
        <f>HYPERLINK("http://dx.doi.org/10.1007/s00382-005-0039-y","http://dx.doi.org/10.1007/s00382-005-0039-y")</f>
        <v>http://dx.doi.org/10.1007/s00382-005-0039-y</v>
      </c>
      <c r="BG732" t="s">
        <v>74</v>
      </c>
      <c r="BH732" t="s">
        <v>74</v>
      </c>
      <c r="BI732">
        <v>19</v>
      </c>
      <c r="BJ732" t="s">
        <v>2033</v>
      </c>
      <c r="BK732" t="s">
        <v>98</v>
      </c>
      <c r="BL732" t="s">
        <v>2033</v>
      </c>
      <c r="BM732" t="s">
        <v>11238</v>
      </c>
      <c r="BN732" t="s">
        <v>74</v>
      </c>
      <c r="BO732" t="s">
        <v>722</v>
      </c>
      <c r="BP732" t="s">
        <v>74</v>
      </c>
      <c r="BQ732" t="s">
        <v>74</v>
      </c>
      <c r="BR732" t="s">
        <v>101</v>
      </c>
      <c r="BS732" t="s">
        <v>11249</v>
      </c>
      <c r="BT732" t="str">
        <f>HYPERLINK("https%3A%2F%2Fwww.webofscience.com%2Fwos%2Fwoscc%2Ffull-record%2FWOS:000232374400007","View Full Record in Web of Science")</f>
        <v>View Full Record in Web of Science</v>
      </c>
    </row>
    <row r="733" spans="1:72" x14ac:dyDescent="0.15">
      <c r="A733" t="s">
        <v>72</v>
      </c>
      <c r="B733" t="s">
        <v>11250</v>
      </c>
      <c r="C733" t="s">
        <v>74</v>
      </c>
      <c r="D733" t="s">
        <v>74</v>
      </c>
      <c r="E733" t="s">
        <v>74</v>
      </c>
      <c r="F733" t="s">
        <v>11250</v>
      </c>
      <c r="G733" t="s">
        <v>74</v>
      </c>
      <c r="H733" t="s">
        <v>74</v>
      </c>
      <c r="I733" t="s">
        <v>11251</v>
      </c>
      <c r="J733" t="s">
        <v>11252</v>
      </c>
      <c r="K733" t="s">
        <v>74</v>
      </c>
      <c r="L733" t="s">
        <v>74</v>
      </c>
      <c r="M733" t="s">
        <v>77</v>
      </c>
      <c r="N733" t="s">
        <v>78</v>
      </c>
      <c r="O733" t="s">
        <v>74</v>
      </c>
      <c r="P733" t="s">
        <v>74</v>
      </c>
      <c r="Q733" t="s">
        <v>74</v>
      </c>
      <c r="R733" t="s">
        <v>74</v>
      </c>
      <c r="S733" t="s">
        <v>74</v>
      </c>
      <c r="T733" t="s">
        <v>11253</v>
      </c>
      <c r="U733" t="s">
        <v>11254</v>
      </c>
      <c r="V733" t="s">
        <v>11255</v>
      </c>
      <c r="W733" t="s">
        <v>11256</v>
      </c>
      <c r="X733" t="s">
        <v>11257</v>
      </c>
      <c r="Y733" t="s">
        <v>11258</v>
      </c>
      <c r="Z733" t="s">
        <v>11259</v>
      </c>
      <c r="AA733" t="s">
        <v>1458</v>
      </c>
      <c r="AB733" t="s">
        <v>11260</v>
      </c>
      <c r="AC733" t="s">
        <v>74</v>
      </c>
      <c r="AD733" t="s">
        <v>74</v>
      </c>
      <c r="AE733" t="s">
        <v>74</v>
      </c>
      <c r="AF733" t="s">
        <v>74</v>
      </c>
      <c r="AG733">
        <v>52</v>
      </c>
      <c r="AH733">
        <v>2</v>
      </c>
      <c r="AI733">
        <v>2</v>
      </c>
      <c r="AJ733">
        <v>0</v>
      </c>
      <c r="AK733">
        <v>1</v>
      </c>
      <c r="AL733" t="s">
        <v>477</v>
      </c>
      <c r="AM733" t="s">
        <v>569</v>
      </c>
      <c r="AN733" t="s">
        <v>11261</v>
      </c>
      <c r="AO733" t="s">
        <v>11262</v>
      </c>
      <c r="AP733" t="s">
        <v>74</v>
      </c>
      <c r="AQ733" t="s">
        <v>74</v>
      </c>
      <c r="AR733" t="s">
        <v>11263</v>
      </c>
      <c r="AS733" t="s">
        <v>11264</v>
      </c>
      <c r="AT733" t="s">
        <v>10970</v>
      </c>
      <c r="AU733">
        <v>2005</v>
      </c>
      <c r="AV733">
        <v>6</v>
      </c>
      <c r="AW733">
        <v>7</v>
      </c>
      <c r="AX733" t="s">
        <v>74</v>
      </c>
      <c r="AY733" t="s">
        <v>74</v>
      </c>
      <c r="AZ733" t="s">
        <v>74</v>
      </c>
      <c r="BA733" t="s">
        <v>74</v>
      </c>
      <c r="BB733">
        <v>789</v>
      </c>
      <c r="BC733">
        <v>797</v>
      </c>
      <c r="BD733" t="s">
        <v>74</v>
      </c>
      <c r="BE733" t="s">
        <v>11265</v>
      </c>
      <c r="BF733" t="str">
        <f>HYPERLINK("http://dx.doi.org/10.1016/j.crhy.2005.06.009","http://dx.doi.org/10.1016/j.crhy.2005.06.009")</f>
        <v>http://dx.doi.org/10.1016/j.crhy.2005.06.009</v>
      </c>
      <c r="BG733" t="s">
        <v>74</v>
      </c>
      <c r="BH733" t="s">
        <v>74</v>
      </c>
      <c r="BI733">
        <v>9</v>
      </c>
      <c r="BJ733" t="s">
        <v>1465</v>
      </c>
      <c r="BK733" t="s">
        <v>98</v>
      </c>
      <c r="BL733" t="s">
        <v>1466</v>
      </c>
      <c r="BM733" t="s">
        <v>11266</v>
      </c>
      <c r="BN733" t="s">
        <v>74</v>
      </c>
      <c r="BO733" t="s">
        <v>74</v>
      </c>
      <c r="BP733" t="s">
        <v>74</v>
      </c>
      <c r="BQ733" t="s">
        <v>74</v>
      </c>
      <c r="BR733" t="s">
        <v>101</v>
      </c>
      <c r="BS733" t="s">
        <v>11267</v>
      </c>
      <c r="BT733" t="str">
        <f>HYPERLINK("https%3A%2F%2Fwww.webofscience.com%2Fwos%2Fwoscc%2Ffull-record%2FWOS:000232712900010","View Full Record in Web of Science")</f>
        <v>View Full Record in Web of Science</v>
      </c>
    </row>
    <row r="734" spans="1:72" x14ac:dyDescent="0.15">
      <c r="A734" t="s">
        <v>72</v>
      </c>
      <c r="B734" t="s">
        <v>11268</v>
      </c>
      <c r="C734" t="s">
        <v>74</v>
      </c>
      <c r="D734" t="s">
        <v>74</v>
      </c>
      <c r="E734" t="s">
        <v>74</v>
      </c>
      <c r="F734" t="s">
        <v>11268</v>
      </c>
      <c r="G734" t="s">
        <v>74</v>
      </c>
      <c r="H734" t="s">
        <v>74</v>
      </c>
      <c r="I734" t="s">
        <v>11269</v>
      </c>
      <c r="J734" t="s">
        <v>11270</v>
      </c>
      <c r="K734" t="s">
        <v>74</v>
      </c>
      <c r="L734" t="s">
        <v>74</v>
      </c>
      <c r="M734" t="s">
        <v>77</v>
      </c>
      <c r="N734" t="s">
        <v>78</v>
      </c>
      <c r="O734" t="s">
        <v>74</v>
      </c>
      <c r="P734" t="s">
        <v>74</v>
      </c>
      <c r="Q734" t="s">
        <v>74</v>
      </c>
      <c r="R734" t="s">
        <v>74</v>
      </c>
      <c r="S734" t="s">
        <v>74</v>
      </c>
      <c r="T734" t="s">
        <v>11271</v>
      </c>
      <c r="U734" t="s">
        <v>11272</v>
      </c>
      <c r="V734" t="s">
        <v>11273</v>
      </c>
      <c r="W734" t="s">
        <v>11274</v>
      </c>
      <c r="X734" t="s">
        <v>11275</v>
      </c>
      <c r="Y734" t="s">
        <v>11276</v>
      </c>
      <c r="Z734" t="s">
        <v>11277</v>
      </c>
      <c r="AA734" t="s">
        <v>11278</v>
      </c>
      <c r="AB734" t="s">
        <v>74</v>
      </c>
      <c r="AC734" t="s">
        <v>74</v>
      </c>
      <c r="AD734" t="s">
        <v>74</v>
      </c>
      <c r="AE734" t="s">
        <v>74</v>
      </c>
      <c r="AF734" t="s">
        <v>74</v>
      </c>
      <c r="AG734">
        <v>93</v>
      </c>
      <c r="AH734">
        <v>43</v>
      </c>
      <c r="AI734">
        <v>47</v>
      </c>
      <c r="AJ734">
        <v>3</v>
      </c>
      <c r="AK734">
        <v>15</v>
      </c>
      <c r="AL734" t="s">
        <v>622</v>
      </c>
      <c r="AM734" t="s">
        <v>140</v>
      </c>
      <c r="AN734" t="s">
        <v>623</v>
      </c>
      <c r="AO734" t="s">
        <v>11279</v>
      </c>
      <c r="AP734" t="s">
        <v>11280</v>
      </c>
      <c r="AQ734" t="s">
        <v>74</v>
      </c>
      <c r="AR734" t="s">
        <v>11281</v>
      </c>
      <c r="AS734" t="s">
        <v>11282</v>
      </c>
      <c r="AT734" t="s">
        <v>10970</v>
      </c>
      <c r="AU734">
        <v>2005</v>
      </c>
      <c r="AV734">
        <v>25</v>
      </c>
      <c r="AW734">
        <v>14</v>
      </c>
      <c r="AX734" t="s">
        <v>74</v>
      </c>
      <c r="AY734" t="s">
        <v>74</v>
      </c>
      <c r="AZ734" t="s">
        <v>74</v>
      </c>
      <c r="BA734" t="s">
        <v>74</v>
      </c>
      <c r="BB734">
        <v>1657</v>
      </c>
      <c r="BC734">
        <v>1691</v>
      </c>
      <c r="BD734" t="s">
        <v>74</v>
      </c>
      <c r="BE734" t="s">
        <v>11283</v>
      </c>
      <c r="BF734" t="str">
        <f>HYPERLINK("http://dx.doi.org/10.1016/j.csr.2005.04.013","http://dx.doi.org/10.1016/j.csr.2005.04.013")</f>
        <v>http://dx.doi.org/10.1016/j.csr.2005.04.013</v>
      </c>
      <c r="BG734" t="s">
        <v>74</v>
      </c>
      <c r="BH734" t="s">
        <v>74</v>
      </c>
      <c r="BI734">
        <v>35</v>
      </c>
      <c r="BJ734" t="s">
        <v>629</v>
      </c>
      <c r="BK734" t="s">
        <v>98</v>
      </c>
      <c r="BL734" t="s">
        <v>629</v>
      </c>
      <c r="BM734" t="s">
        <v>11284</v>
      </c>
      <c r="BN734" t="s">
        <v>74</v>
      </c>
      <c r="BO734" t="s">
        <v>74</v>
      </c>
      <c r="BP734" t="s">
        <v>74</v>
      </c>
      <c r="BQ734" t="s">
        <v>74</v>
      </c>
      <c r="BR734" t="s">
        <v>101</v>
      </c>
      <c r="BS734" t="s">
        <v>11285</v>
      </c>
      <c r="BT734" t="str">
        <f>HYPERLINK("https%3A%2F%2Fwww.webofscience.com%2Fwos%2Fwoscc%2Ffull-record%2FWOS:000232000100002","View Full Record in Web of Science")</f>
        <v>View Full Record in Web of Science</v>
      </c>
    </row>
    <row r="735" spans="1:72" x14ac:dyDescent="0.15">
      <c r="A735" t="s">
        <v>72</v>
      </c>
      <c r="B735" t="s">
        <v>11286</v>
      </c>
      <c r="C735" t="s">
        <v>74</v>
      </c>
      <c r="D735" t="s">
        <v>74</v>
      </c>
      <c r="E735" t="s">
        <v>74</v>
      </c>
      <c r="F735" t="s">
        <v>11286</v>
      </c>
      <c r="G735" t="s">
        <v>74</v>
      </c>
      <c r="H735" t="s">
        <v>74</v>
      </c>
      <c r="I735" t="s">
        <v>11287</v>
      </c>
      <c r="J735" t="s">
        <v>615</v>
      </c>
      <c r="K735" t="s">
        <v>74</v>
      </c>
      <c r="L735" t="s">
        <v>74</v>
      </c>
      <c r="M735" t="s">
        <v>77</v>
      </c>
      <c r="N735" t="s">
        <v>78</v>
      </c>
      <c r="O735" t="s">
        <v>74</v>
      </c>
      <c r="P735" t="s">
        <v>74</v>
      </c>
      <c r="Q735" t="s">
        <v>74</v>
      </c>
      <c r="R735" t="s">
        <v>74</v>
      </c>
      <c r="S735" t="s">
        <v>74</v>
      </c>
      <c r="T735" t="s">
        <v>11288</v>
      </c>
      <c r="U735" t="s">
        <v>11289</v>
      </c>
      <c r="V735" t="s">
        <v>11290</v>
      </c>
      <c r="W735" t="s">
        <v>11291</v>
      </c>
      <c r="X735" t="s">
        <v>11292</v>
      </c>
      <c r="Y735" t="s">
        <v>11293</v>
      </c>
      <c r="Z735" t="s">
        <v>11294</v>
      </c>
      <c r="AA735" t="s">
        <v>74</v>
      </c>
      <c r="AB735" t="s">
        <v>74</v>
      </c>
      <c r="AC735" t="s">
        <v>74</v>
      </c>
      <c r="AD735" t="s">
        <v>74</v>
      </c>
      <c r="AE735" t="s">
        <v>74</v>
      </c>
      <c r="AF735" t="s">
        <v>74</v>
      </c>
      <c r="AG735">
        <v>42</v>
      </c>
      <c r="AH735">
        <v>26</v>
      </c>
      <c r="AI735">
        <v>27</v>
      </c>
      <c r="AJ735">
        <v>0</v>
      </c>
      <c r="AK735">
        <v>12</v>
      </c>
      <c r="AL735" t="s">
        <v>622</v>
      </c>
      <c r="AM735" t="s">
        <v>140</v>
      </c>
      <c r="AN735" t="s">
        <v>623</v>
      </c>
      <c r="AO735" t="s">
        <v>624</v>
      </c>
      <c r="AP735" t="s">
        <v>625</v>
      </c>
      <c r="AQ735" t="s">
        <v>74</v>
      </c>
      <c r="AR735" t="s">
        <v>626</v>
      </c>
      <c r="AS735" t="s">
        <v>627</v>
      </c>
      <c r="AT735" t="s">
        <v>10970</v>
      </c>
      <c r="AU735">
        <v>2005</v>
      </c>
      <c r="AV735">
        <v>52</v>
      </c>
      <c r="AW735">
        <v>9</v>
      </c>
      <c r="AX735" t="s">
        <v>74</v>
      </c>
      <c r="AY735" t="s">
        <v>74</v>
      </c>
      <c r="AZ735" t="s">
        <v>74</v>
      </c>
      <c r="BA735" t="s">
        <v>74</v>
      </c>
      <c r="BB735">
        <v>1617</v>
      </c>
      <c r="BC735">
        <v>1635</v>
      </c>
      <c r="BD735" t="s">
        <v>74</v>
      </c>
      <c r="BE735" t="s">
        <v>11295</v>
      </c>
      <c r="BF735" t="str">
        <f>HYPERLINK("http://dx.doi.org/10.1016/j.dsr.2005.03.013","http://dx.doi.org/10.1016/j.dsr.2005.03.013")</f>
        <v>http://dx.doi.org/10.1016/j.dsr.2005.03.013</v>
      </c>
      <c r="BG735" t="s">
        <v>74</v>
      </c>
      <c r="BH735" t="s">
        <v>74</v>
      </c>
      <c r="BI735">
        <v>19</v>
      </c>
      <c r="BJ735" t="s">
        <v>629</v>
      </c>
      <c r="BK735" t="s">
        <v>98</v>
      </c>
      <c r="BL735" t="s">
        <v>629</v>
      </c>
      <c r="BM735" t="s">
        <v>11296</v>
      </c>
      <c r="BN735" t="s">
        <v>74</v>
      </c>
      <c r="BO735" t="s">
        <v>74</v>
      </c>
      <c r="BP735" t="s">
        <v>74</v>
      </c>
      <c r="BQ735" t="s">
        <v>74</v>
      </c>
      <c r="BR735" t="s">
        <v>101</v>
      </c>
      <c r="BS735" t="s">
        <v>11297</v>
      </c>
      <c r="BT735" t="str">
        <f>HYPERLINK("https%3A%2F%2Fwww.webofscience.com%2Fwos%2Fwoscc%2Ffull-record%2FWOS:000231589700003","View Full Record in Web of Science")</f>
        <v>View Full Record in Web of Science</v>
      </c>
    </row>
    <row r="736" spans="1:72" x14ac:dyDescent="0.15">
      <c r="A736" t="s">
        <v>72</v>
      </c>
      <c r="B736" t="s">
        <v>11298</v>
      </c>
      <c r="C736" t="s">
        <v>74</v>
      </c>
      <c r="D736" t="s">
        <v>74</v>
      </c>
      <c r="E736" t="s">
        <v>74</v>
      </c>
      <c r="F736" t="s">
        <v>11298</v>
      </c>
      <c r="G736" t="s">
        <v>74</v>
      </c>
      <c r="H736" t="s">
        <v>74</v>
      </c>
      <c r="I736" t="s">
        <v>11299</v>
      </c>
      <c r="J736" t="s">
        <v>8469</v>
      </c>
      <c r="K736" t="s">
        <v>74</v>
      </c>
      <c r="L736" t="s">
        <v>74</v>
      </c>
      <c r="M736" t="s">
        <v>77</v>
      </c>
      <c r="N736" t="s">
        <v>78</v>
      </c>
      <c r="O736" t="s">
        <v>74</v>
      </c>
      <c r="P736" t="s">
        <v>74</v>
      </c>
      <c r="Q736" t="s">
        <v>74</v>
      </c>
      <c r="R736" t="s">
        <v>74</v>
      </c>
      <c r="S736" t="s">
        <v>74</v>
      </c>
      <c r="T736" t="s">
        <v>11300</v>
      </c>
      <c r="U736" t="s">
        <v>11301</v>
      </c>
      <c r="V736" t="s">
        <v>11302</v>
      </c>
      <c r="W736" t="s">
        <v>11303</v>
      </c>
      <c r="X736" t="s">
        <v>11304</v>
      </c>
      <c r="Y736" t="s">
        <v>11305</v>
      </c>
      <c r="Z736" t="s">
        <v>11306</v>
      </c>
      <c r="AA736" t="s">
        <v>74</v>
      </c>
      <c r="AB736" t="s">
        <v>74</v>
      </c>
      <c r="AC736" t="s">
        <v>74</v>
      </c>
      <c r="AD736" t="s">
        <v>74</v>
      </c>
      <c r="AE736" t="s">
        <v>74</v>
      </c>
      <c r="AF736" t="s">
        <v>74</v>
      </c>
      <c r="AG736">
        <v>98</v>
      </c>
      <c r="AH736">
        <v>120</v>
      </c>
      <c r="AI736">
        <v>129</v>
      </c>
      <c r="AJ736">
        <v>5</v>
      </c>
      <c r="AK736">
        <v>46</v>
      </c>
      <c r="AL736" t="s">
        <v>2025</v>
      </c>
      <c r="AM736" t="s">
        <v>2026</v>
      </c>
      <c r="AN736" t="s">
        <v>2027</v>
      </c>
      <c r="AO736" t="s">
        <v>8479</v>
      </c>
      <c r="AP736" t="s">
        <v>8480</v>
      </c>
      <c r="AQ736" t="s">
        <v>74</v>
      </c>
      <c r="AR736" t="s">
        <v>8469</v>
      </c>
      <c r="AS736" t="s">
        <v>1154</v>
      </c>
      <c r="AT736" t="s">
        <v>10970</v>
      </c>
      <c r="AU736">
        <v>2005</v>
      </c>
      <c r="AV736">
        <v>86</v>
      </c>
      <c r="AW736">
        <v>9</v>
      </c>
      <c r="AX736" t="s">
        <v>74</v>
      </c>
      <c r="AY736" t="s">
        <v>74</v>
      </c>
      <c r="AZ736" t="s">
        <v>74</v>
      </c>
      <c r="BA736" t="s">
        <v>74</v>
      </c>
      <c r="BB736">
        <v>2288</v>
      </c>
      <c r="BC736">
        <v>2297</v>
      </c>
      <c r="BD736" t="s">
        <v>74</v>
      </c>
      <c r="BE736" t="s">
        <v>11307</v>
      </c>
      <c r="BF736" t="str">
        <f>HYPERLINK("http://dx.doi.org/10.1890/04-1056","http://dx.doi.org/10.1890/04-1056")</f>
        <v>http://dx.doi.org/10.1890/04-1056</v>
      </c>
      <c r="BG736" t="s">
        <v>74</v>
      </c>
      <c r="BH736" t="s">
        <v>74</v>
      </c>
      <c r="BI736">
        <v>10</v>
      </c>
      <c r="BJ736" t="s">
        <v>1154</v>
      </c>
      <c r="BK736" t="s">
        <v>98</v>
      </c>
      <c r="BL736" t="s">
        <v>1155</v>
      </c>
      <c r="BM736" t="s">
        <v>11308</v>
      </c>
      <c r="BN736" t="s">
        <v>74</v>
      </c>
      <c r="BO736" t="s">
        <v>1900</v>
      </c>
      <c r="BP736" t="s">
        <v>74</v>
      </c>
      <c r="BQ736" t="s">
        <v>74</v>
      </c>
      <c r="BR736" t="s">
        <v>101</v>
      </c>
      <c r="BS736" t="s">
        <v>11309</v>
      </c>
      <c r="BT736" t="str">
        <f>HYPERLINK("https%3A%2F%2Fwww.webofscience.com%2Fwos%2Fwoscc%2Ffull-record%2FWOS:000231373600004","View Full Record in Web of Science")</f>
        <v>View Full Record in Web of Science</v>
      </c>
    </row>
    <row r="737" spans="1:72" x14ac:dyDescent="0.15">
      <c r="A737" t="s">
        <v>72</v>
      </c>
      <c r="B737" t="s">
        <v>11310</v>
      </c>
      <c r="C737" t="s">
        <v>74</v>
      </c>
      <c r="D737" t="s">
        <v>74</v>
      </c>
      <c r="E737" t="s">
        <v>74</v>
      </c>
      <c r="F737" t="s">
        <v>11310</v>
      </c>
      <c r="G737" t="s">
        <v>74</v>
      </c>
      <c r="H737" t="s">
        <v>74</v>
      </c>
      <c r="I737" t="s">
        <v>11311</v>
      </c>
      <c r="J737" t="s">
        <v>8469</v>
      </c>
      <c r="K737" t="s">
        <v>74</v>
      </c>
      <c r="L737" t="s">
        <v>74</v>
      </c>
      <c r="M737" t="s">
        <v>77</v>
      </c>
      <c r="N737" t="s">
        <v>78</v>
      </c>
      <c r="O737" t="s">
        <v>74</v>
      </c>
      <c r="P737" t="s">
        <v>74</v>
      </c>
      <c r="Q737" t="s">
        <v>74</v>
      </c>
      <c r="R737" t="s">
        <v>74</v>
      </c>
      <c r="S737" t="s">
        <v>74</v>
      </c>
      <c r="T737" t="s">
        <v>11312</v>
      </c>
      <c r="U737" t="s">
        <v>11313</v>
      </c>
      <c r="V737" t="s">
        <v>11314</v>
      </c>
      <c r="W737" t="s">
        <v>801</v>
      </c>
      <c r="X737" t="s">
        <v>788</v>
      </c>
      <c r="Y737" t="s">
        <v>3055</v>
      </c>
      <c r="Z737" t="s">
        <v>1201</v>
      </c>
      <c r="AA737" t="s">
        <v>74</v>
      </c>
      <c r="AB737" t="s">
        <v>74</v>
      </c>
      <c r="AC737" t="s">
        <v>74</v>
      </c>
      <c r="AD737" t="s">
        <v>74</v>
      </c>
      <c r="AE737" t="s">
        <v>74</v>
      </c>
      <c r="AF737" t="s">
        <v>74</v>
      </c>
      <c r="AG737">
        <v>68</v>
      </c>
      <c r="AH737">
        <v>212</v>
      </c>
      <c r="AI737">
        <v>234</v>
      </c>
      <c r="AJ737">
        <v>2</v>
      </c>
      <c r="AK737">
        <v>83</v>
      </c>
      <c r="AL737" t="s">
        <v>2025</v>
      </c>
      <c r="AM737" t="s">
        <v>2026</v>
      </c>
      <c r="AN737" t="s">
        <v>2027</v>
      </c>
      <c r="AO737" t="s">
        <v>8479</v>
      </c>
      <c r="AP737" t="s">
        <v>8480</v>
      </c>
      <c r="AQ737" t="s">
        <v>74</v>
      </c>
      <c r="AR737" t="s">
        <v>8469</v>
      </c>
      <c r="AS737" t="s">
        <v>1154</v>
      </c>
      <c r="AT737" t="s">
        <v>10970</v>
      </c>
      <c r="AU737">
        <v>2005</v>
      </c>
      <c r="AV737">
        <v>86</v>
      </c>
      <c r="AW737">
        <v>9</v>
      </c>
      <c r="AX737" t="s">
        <v>74</v>
      </c>
      <c r="AY737" t="s">
        <v>74</v>
      </c>
      <c r="AZ737" t="s">
        <v>74</v>
      </c>
      <c r="BA737" t="s">
        <v>74</v>
      </c>
      <c r="BB737">
        <v>2386</v>
      </c>
      <c r="BC737">
        <v>2396</v>
      </c>
      <c r="BD737" t="s">
        <v>74</v>
      </c>
      <c r="BE737" t="s">
        <v>11315</v>
      </c>
      <c r="BF737" t="str">
        <f>HYPERLINK("http://dx.doi.org/10.1890/04-1885","http://dx.doi.org/10.1890/04-1885")</f>
        <v>http://dx.doi.org/10.1890/04-1885</v>
      </c>
      <c r="BG737" t="s">
        <v>74</v>
      </c>
      <c r="BH737" t="s">
        <v>74</v>
      </c>
      <c r="BI737">
        <v>11</v>
      </c>
      <c r="BJ737" t="s">
        <v>1154</v>
      </c>
      <c r="BK737" t="s">
        <v>98</v>
      </c>
      <c r="BL737" t="s">
        <v>1155</v>
      </c>
      <c r="BM737" t="s">
        <v>11308</v>
      </c>
      <c r="BN737" t="s">
        <v>74</v>
      </c>
      <c r="BO737" t="s">
        <v>74</v>
      </c>
      <c r="BP737" t="s">
        <v>74</v>
      </c>
      <c r="BQ737" t="s">
        <v>74</v>
      </c>
      <c r="BR737" t="s">
        <v>101</v>
      </c>
      <c r="BS737" t="s">
        <v>11316</v>
      </c>
      <c r="BT737" t="str">
        <f>HYPERLINK("https%3A%2F%2Fwww.webofscience.com%2Fwos%2Fwoscc%2Ffull-record%2FWOS:000231373600014","View Full Record in Web of Science")</f>
        <v>View Full Record in Web of Science</v>
      </c>
    </row>
    <row r="738" spans="1:72" x14ac:dyDescent="0.15">
      <c r="A738" t="s">
        <v>72</v>
      </c>
      <c r="B738" t="s">
        <v>11317</v>
      </c>
      <c r="C738" t="s">
        <v>74</v>
      </c>
      <c r="D738" t="s">
        <v>74</v>
      </c>
      <c r="E738" t="s">
        <v>74</v>
      </c>
      <c r="F738" t="s">
        <v>11317</v>
      </c>
      <c r="G738" t="s">
        <v>74</v>
      </c>
      <c r="H738" t="s">
        <v>74</v>
      </c>
      <c r="I738" t="s">
        <v>11318</v>
      </c>
      <c r="J738" t="s">
        <v>8469</v>
      </c>
      <c r="K738" t="s">
        <v>74</v>
      </c>
      <c r="L738" t="s">
        <v>74</v>
      </c>
      <c r="M738" t="s">
        <v>77</v>
      </c>
      <c r="N738" t="s">
        <v>78</v>
      </c>
      <c r="O738" t="s">
        <v>74</v>
      </c>
      <c r="P738" t="s">
        <v>74</v>
      </c>
      <c r="Q738" t="s">
        <v>74</v>
      </c>
      <c r="R738" t="s">
        <v>74</v>
      </c>
      <c r="S738" t="s">
        <v>74</v>
      </c>
      <c r="T738" t="s">
        <v>11319</v>
      </c>
      <c r="U738" t="s">
        <v>11320</v>
      </c>
      <c r="V738" t="s">
        <v>11321</v>
      </c>
      <c r="W738" t="s">
        <v>801</v>
      </c>
      <c r="X738" t="s">
        <v>788</v>
      </c>
      <c r="Y738" t="s">
        <v>11322</v>
      </c>
      <c r="Z738" t="s">
        <v>11323</v>
      </c>
      <c r="AA738" t="s">
        <v>4862</v>
      </c>
      <c r="AB738" t="s">
        <v>74</v>
      </c>
      <c r="AC738" t="s">
        <v>74</v>
      </c>
      <c r="AD738" t="s">
        <v>74</v>
      </c>
      <c r="AE738" t="s">
        <v>74</v>
      </c>
      <c r="AF738" t="s">
        <v>74</v>
      </c>
      <c r="AG738">
        <v>45</v>
      </c>
      <c r="AH738">
        <v>133</v>
      </c>
      <c r="AI738">
        <v>152</v>
      </c>
      <c r="AJ738">
        <v>4</v>
      </c>
      <c r="AK738">
        <v>101</v>
      </c>
      <c r="AL738" t="s">
        <v>2025</v>
      </c>
      <c r="AM738" t="s">
        <v>2026</v>
      </c>
      <c r="AN738" t="s">
        <v>2027</v>
      </c>
      <c r="AO738" t="s">
        <v>8479</v>
      </c>
      <c r="AP738" t="s">
        <v>8480</v>
      </c>
      <c r="AQ738" t="s">
        <v>74</v>
      </c>
      <c r="AR738" t="s">
        <v>8469</v>
      </c>
      <c r="AS738" t="s">
        <v>1154</v>
      </c>
      <c r="AT738" t="s">
        <v>10970</v>
      </c>
      <c r="AU738">
        <v>2005</v>
      </c>
      <c r="AV738">
        <v>86</v>
      </c>
      <c r="AW738">
        <v>9</v>
      </c>
      <c r="AX738" t="s">
        <v>74</v>
      </c>
      <c r="AY738" t="s">
        <v>74</v>
      </c>
      <c r="AZ738" t="s">
        <v>74</v>
      </c>
      <c r="BA738" t="s">
        <v>74</v>
      </c>
      <c r="BB738">
        <v>2408</v>
      </c>
      <c r="BC738">
        <v>2417</v>
      </c>
      <c r="BD738" t="s">
        <v>74</v>
      </c>
      <c r="BE738" t="s">
        <v>11324</v>
      </c>
      <c r="BF738" t="str">
        <f>HYPERLINK("http://dx.doi.org/10.1890/04-1153","http://dx.doi.org/10.1890/04-1153")</f>
        <v>http://dx.doi.org/10.1890/04-1153</v>
      </c>
      <c r="BG738" t="s">
        <v>74</v>
      </c>
      <c r="BH738" t="s">
        <v>74</v>
      </c>
      <c r="BI738">
        <v>10</v>
      </c>
      <c r="BJ738" t="s">
        <v>1154</v>
      </c>
      <c r="BK738" t="s">
        <v>98</v>
      </c>
      <c r="BL738" t="s">
        <v>1155</v>
      </c>
      <c r="BM738" t="s">
        <v>11308</v>
      </c>
      <c r="BN738" t="s">
        <v>74</v>
      </c>
      <c r="BO738" t="s">
        <v>74</v>
      </c>
      <c r="BP738" t="s">
        <v>74</v>
      </c>
      <c r="BQ738" t="s">
        <v>74</v>
      </c>
      <c r="BR738" t="s">
        <v>101</v>
      </c>
      <c r="BS738" t="s">
        <v>11325</v>
      </c>
      <c r="BT738" t="str">
        <f>HYPERLINK("https%3A%2F%2Fwww.webofscience.com%2Fwos%2Fwoscc%2Ffull-record%2FWOS:000231373600016","View Full Record in Web of Science")</f>
        <v>View Full Record in Web of Science</v>
      </c>
    </row>
    <row r="739" spans="1:72" x14ac:dyDescent="0.15">
      <c r="A739" t="s">
        <v>72</v>
      </c>
      <c r="B739" t="s">
        <v>11326</v>
      </c>
      <c r="C739" t="s">
        <v>74</v>
      </c>
      <c r="D739" t="s">
        <v>74</v>
      </c>
      <c r="E739" t="s">
        <v>74</v>
      </c>
      <c r="F739" t="s">
        <v>11326</v>
      </c>
      <c r="G739" t="s">
        <v>74</v>
      </c>
      <c r="H739" t="s">
        <v>74</v>
      </c>
      <c r="I739" t="s">
        <v>11327</v>
      </c>
      <c r="J739" t="s">
        <v>6153</v>
      </c>
      <c r="K739" t="s">
        <v>74</v>
      </c>
      <c r="L739" t="s">
        <v>74</v>
      </c>
      <c r="M739" t="s">
        <v>77</v>
      </c>
      <c r="N739" t="s">
        <v>78</v>
      </c>
      <c r="O739" t="s">
        <v>74</v>
      </c>
      <c r="P739" t="s">
        <v>74</v>
      </c>
      <c r="Q739" t="s">
        <v>74</v>
      </c>
      <c r="R739" t="s">
        <v>74</v>
      </c>
      <c r="S739" t="s">
        <v>74</v>
      </c>
      <c r="T739" t="s">
        <v>11328</v>
      </c>
      <c r="U739" t="s">
        <v>11329</v>
      </c>
      <c r="V739" t="s">
        <v>11330</v>
      </c>
      <c r="W739" t="s">
        <v>801</v>
      </c>
      <c r="X739" t="s">
        <v>788</v>
      </c>
      <c r="Y739" t="s">
        <v>11331</v>
      </c>
      <c r="Z739" t="s">
        <v>11332</v>
      </c>
      <c r="AA739" t="s">
        <v>74</v>
      </c>
      <c r="AB739" t="s">
        <v>74</v>
      </c>
      <c r="AC739" t="s">
        <v>74</v>
      </c>
      <c r="AD739" t="s">
        <v>74</v>
      </c>
      <c r="AE739" t="s">
        <v>74</v>
      </c>
      <c r="AF739" t="s">
        <v>74</v>
      </c>
      <c r="AG739">
        <v>15</v>
      </c>
      <c r="AH739">
        <v>17</v>
      </c>
      <c r="AI739">
        <v>24</v>
      </c>
      <c r="AJ739">
        <v>1</v>
      </c>
      <c r="AK739">
        <v>21</v>
      </c>
      <c r="AL739" t="s">
        <v>1147</v>
      </c>
      <c r="AM739" t="s">
        <v>1148</v>
      </c>
      <c r="AN739" t="s">
        <v>1149</v>
      </c>
      <c r="AO739" t="s">
        <v>6163</v>
      </c>
      <c r="AP739" t="s">
        <v>6164</v>
      </c>
      <c r="AQ739" t="s">
        <v>74</v>
      </c>
      <c r="AR739" t="s">
        <v>6165</v>
      </c>
      <c r="AS739" t="s">
        <v>6166</v>
      </c>
      <c r="AT739" t="s">
        <v>10970</v>
      </c>
      <c r="AU739">
        <v>2005</v>
      </c>
      <c r="AV739">
        <v>75</v>
      </c>
      <c r="AW739" t="s">
        <v>1655</v>
      </c>
      <c r="AX739" t="s">
        <v>74</v>
      </c>
      <c r="AY739" t="s">
        <v>74</v>
      </c>
      <c r="AZ739" t="s">
        <v>74</v>
      </c>
      <c r="BA739" t="s">
        <v>74</v>
      </c>
      <c r="BB739">
        <v>200</v>
      </c>
      <c r="BC739">
        <v>203</v>
      </c>
      <c r="BD739" t="s">
        <v>74</v>
      </c>
      <c r="BE739" t="s">
        <v>11333</v>
      </c>
      <c r="BF739" t="str">
        <f>HYPERLINK("http://dx.doi.org/10.1016/j.fishres.2005.04.008","http://dx.doi.org/10.1016/j.fishres.2005.04.008")</f>
        <v>http://dx.doi.org/10.1016/j.fishres.2005.04.008</v>
      </c>
      <c r="BG739" t="s">
        <v>74</v>
      </c>
      <c r="BH739" t="s">
        <v>74</v>
      </c>
      <c r="BI739">
        <v>4</v>
      </c>
      <c r="BJ739" t="s">
        <v>225</v>
      </c>
      <c r="BK739" t="s">
        <v>98</v>
      </c>
      <c r="BL739" t="s">
        <v>225</v>
      </c>
      <c r="BM739" t="s">
        <v>11334</v>
      </c>
      <c r="BN739" t="s">
        <v>74</v>
      </c>
      <c r="BO739" t="s">
        <v>74</v>
      </c>
      <c r="BP739" t="s">
        <v>74</v>
      </c>
      <c r="BQ739" t="s">
        <v>74</v>
      </c>
      <c r="BR739" t="s">
        <v>101</v>
      </c>
      <c r="BS739" t="s">
        <v>11335</v>
      </c>
      <c r="BT739" t="str">
        <f>HYPERLINK("https%3A%2F%2Fwww.webofscience.com%2Fwos%2Fwoscc%2Ffull-record%2FWOS:000231304300016","View Full Record in Web of Science")</f>
        <v>View Full Record in Web of Science</v>
      </c>
    </row>
    <row r="740" spans="1:72" x14ac:dyDescent="0.15">
      <c r="A740" t="s">
        <v>72</v>
      </c>
      <c r="B740" t="s">
        <v>11336</v>
      </c>
      <c r="C740" t="s">
        <v>74</v>
      </c>
      <c r="D740" t="s">
        <v>74</v>
      </c>
      <c r="E740" t="s">
        <v>74</v>
      </c>
      <c r="F740" t="s">
        <v>11336</v>
      </c>
      <c r="G740" t="s">
        <v>74</v>
      </c>
      <c r="H740" t="s">
        <v>74</v>
      </c>
      <c r="I740" t="s">
        <v>11337</v>
      </c>
      <c r="J740" t="s">
        <v>1560</v>
      </c>
      <c r="K740" t="s">
        <v>74</v>
      </c>
      <c r="L740" t="s">
        <v>74</v>
      </c>
      <c r="M740" t="s">
        <v>77</v>
      </c>
      <c r="N740" t="s">
        <v>78</v>
      </c>
      <c r="O740" t="s">
        <v>74</v>
      </c>
      <c r="P740" t="s">
        <v>74</v>
      </c>
      <c r="Q740" t="s">
        <v>74</v>
      </c>
      <c r="R740" t="s">
        <v>74</v>
      </c>
      <c r="S740" t="s">
        <v>74</v>
      </c>
      <c r="T740" t="s">
        <v>11338</v>
      </c>
      <c r="U740" t="s">
        <v>11339</v>
      </c>
      <c r="V740" t="s">
        <v>11340</v>
      </c>
      <c r="W740" t="s">
        <v>11341</v>
      </c>
      <c r="X740" t="s">
        <v>11342</v>
      </c>
      <c r="Y740" t="s">
        <v>11343</v>
      </c>
      <c r="Z740" t="s">
        <v>11344</v>
      </c>
      <c r="AA740" t="s">
        <v>11345</v>
      </c>
      <c r="AB740" t="s">
        <v>11346</v>
      </c>
      <c r="AC740" t="s">
        <v>74</v>
      </c>
      <c r="AD740" t="s">
        <v>74</v>
      </c>
      <c r="AE740" t="s">
        <v>74</v>
      </c>
      <c r="AF740" t="s">
        <v>74</v>
      </c>
      <c r="AG740">
        <v>29</v>
      </c>
      <c r="AH740">
        <v>37</v>
      </c>
      <c r="AI740">
        <v>39</v>
      </c>
      <c r="AJ740">
        <v>0</v>
      </c>
      <c r="AK740">
        <v>4</v>
      </c>
      <c r="AL740" t="s">
        <v>1569</v>
      </c>
      <c r="AM740" t="s">
        <v>605</v>
      </c>
      <c r="AN740" t="s">
        <v>1570</v>
      </c>
      <c r="AO740" t="s">
        <v>11347</v>
      </c>
      <c r="AP740" t="s">
        <v>74</v>
      </c>
      <c r="AQ740" t="s">
        <v>74</v>
      </c>
      <c r="AR740" t="s">
        <v>1560</v>
      </c>
      <c r="AS740" t="s">
        <v>1130</v>
      </c>
      <c r="AT740" t="s">
        <v>10970</v>
      </c>
      <c r="AU740">
        <v>2005</v>
      </c>
      <c r="AV740">
        <v>33</v>
      </c>
      <c r="AW740">
        <v>9</v>
      </c>
      <c r="AX740" t="s">
        <v>74</v>
      </c>
      <c r="AY740" t="s">
        <v>74</v>
      </c>
      <c r="AZ740" t="s">
        <v>74</v>
      </c>
      <c r="BA740" t="s">
        <v>74</v>
      </c>
      <c r="BB740">
        <v>709</v>
      </c>
      <c r="BC740">
        <v>712</v>
      </c>
      <c r="BD740" t="s">
        <v>74</v>
      </c>
      <c r="BE740" t="s">
        <v>11348</v>
      </c>
      <c r="BF740" t="str">
        <f>HYPERLINK("http://dx.doi.org/10.1130/G21634.1","http://dx.doi.org/10.1130/G21634.1")</f>
        <v>http://dx.doi.org/10.1130/G21634.1</v>
      </c>
      <c r="BG740" t="s">
        <v>74</v>
      </c>
      <c r="BH740" t="s">
        <v>74</v>
      </c>
      <c r="BI740">
        <v>4</v>
      </c>
      <c r="BJ740" t="s">
        <v>1130</v>
      </c>
      <c r="BK740" t="s">
        <v>98</v>
      </c>
      <c r="BL740" t="s">
        <v>1130</v>
      </c>
      <c r="BM740" t="s">
        <v>11349</v>
      </c>
      <c r="BN740" t="s">
        <v>74</v>
      </c>
      <c r="BO740" t="s">
        <v>74</v>
      </c>
      <c r="BP740" t="s">
        <v>74</v>
      </c>
      <c r="BQ740" t="s">
        <v>74</v>
      </c>
      <c r="BR740" t="s">
        <v>101</v>
      </c>
      <c r="BS740" t="s">
        <v>11350</v>
      </c>
      <c r="BT740" t="str">
        <f>HYPERLINK("https%3A%2F%2Fwww.webofscience.com%2Fwos%2Fwoscc%2Ffull-record%2FWOS:000231585800005","View Full Record in Web of Science")</f>
        <v>View Full Record in Web of Science</v>
      </c>
    </row>
    <row r="741" spans="1:72" x14ac:dyDescent="0.15">
      <c r="A741" t="s">
        <v>72</v>
      </c>
      <c r="B741" t="s">
        <v>11351</v>
      </c>
      <c r="C741" t="s">
        <v>74</v>
      </c>
      <c r="D741" t="s">
        <v>74</v>
      </c>
      <c r="E741" t="s">
        <v>74</v>
      </c>
      <c r="F741" t="s">
        <v>11351</v>
      </c>
      <c r="G741" t="s">
        <v>74</v>
      </c>
      <c r="H741" t="s">
        <v>74</v>
      </c>
      <c r="I741" t="s">
        <v>11352</v>
      </c>
      <c r="J741" t="s">
        <v>1560</v>
      </c>
      <c r="K741" t="s">
        <v>74</v>
      </c>
      <c r="L741" t="s">
        <v>74</v>
      </c>
      <c r="M741" t="s">
        <v>77</v>
      </c>
      <c r="N741" t="s">
        <v>78</v>
      </c>
      <c r="O741" t="s">
        <v>74</v>
      </c>
      <c r="P741" t="s">
        <v>74</v>
      </c>
      <c r="Q741" t="s">
        <v>74</v>
      </c>
      <c r="R741" t="s">
        <v>74</v>
      </c>
      <c r="S741" t="s">
        <v>74</v>
      </c>
      <c r="T741" t="s">
        <v>74</v>
      </c>
      <c r="U741" t="s">
        <v>11353</v>
      </c>
      <c r="V741" t="s">
        <v>11354</v>
      </c>
      <c r="W741" t="s">
        <v>11355</v>
      </c>
      <c r="X741" t="s">
        <v>11356</v>
      </c>
      <c r="Y741" t="s">
        <v>11357</v>
      </c>
      <c r="Z741" t="s">
        <v>74</v>
      </c>
      <c r="AA741" t="s">
        <v>11358</v>
      </c>
      <c r="AB741" t="s">
        <v>11359</v>
      </c>
      <c r="AC741" t="s">
        <v>74</v>
      </c>
      <c r="AD741" t="s">
        <v>74</v>
      </c>
      <c r="AE741" t="s">
        <v>74</v>
      </c>
      <c r="AF741" t="s">
        <v>74</v>
      </c>
      <c r="AG741">
        <v>21</v>
      </c>
      <c r="AH741">
        <v>66</v>
      </c>
      <c r="AI741">
        <v>68</v>
      </c>
      <c r="AJ741">
        <v>0</v>
      </c>
      <c r="AK741">
        <v>13</v>
      </c>
      <c r="AL741" t="s">
        <v>11360</v>
      </c>
      <c r="AM741" t="s">
        <v>605</v>
      </c>
      <c r="AN741" t="s">
        <v>1570</v>
      </c>
      <c r="AO741" t="s">
        <v>1571</v>
      </c>
      <c r="AP741" t="s">
        <v>74</v>
      </c>
      <c r="AQ741" t="s">
        <v>74</v>
      </c>
      <c r="AR741" t="s">
        <v>1560</v>
      </c>
      <c r="AS741" t="s">
        <v>1130</v>
      </c>
      <c r="AT741" t="s">
        <v>10970</v>
      </c>
      <c r="AU741">
        <v>2005</v>
      </c>
      <c r="AV741">
        <v>33</v>
      </c>
      <c r="AW741">
        <v>9</v>
      </c>
      <c r="AX741" t="s">
        <v>74</v>
      </c>
      <c r="AY741" t="s">
        <v>74</v>
      </c>
      <c r="AZ741" t="s">
        <v>74</v>
      </c>
      <c r="BA741" t="s">
        <v>74</v>
      </c>
      <c r="BB741">
        <v>753</v>
      </c>
      <c r="BC741">
        <v>756</v>
      </c>
      <c r="BD741" t="s">
        <v>74</v>
      </c>
      <c r="BE741" t="s">
        <v>11361</v>
      </c>
      <c r="BF741" t="str">
        <f>HYPERLINK("http://dx.doi.org/10.1130/G21782.1","http://dx.doi.org/10.1130/G21782.1")</f>
        <v>http://dx.doi.org/10.1130/G21782.1</v>
      </c>
      <c r="BG741" t="s">
        <v>74</v>
      </c>
      <c r="BH741" t="s">
        <v>74</v>
      </c>
      <c r="BI741">
        <v>4</v>
      </c>
      <c r="BJ741" t="s">
        <v>1130</v>
      </c>
      <c r="BK741" t="s">
        <v>98</v>
      </c>
      <c r="BL741" t="s">
        <v>1130</v>
      </c>
      <c r="BM741" t="s">
        <v>11349</v>
      </c>
      <c r="BN741" t="s">
        <v>74</v>
      </c>
      <c r="BO741" t="s">
        <v>74</v>
      </c>
      <c r="BP741" t="s">
        <v>74</v>
      </c>
      <c r="BQ741" t="s">
        <v>74</v>
      </c>
      <c r="BR741" t="s">
        <v>101</v>
      </c>
      <c r="BS741" t="s">
        <v>11362</v>
      </c>
      <c r="BT741" t="str">
        <f>HYPERLINK("https%3A%2F%2Fwww.webofscience.com%2Fwos%2Fwoscc%2Ffull-record%2FWOS:000231585800016","View Full Record in Web of Science")</f>
        <v>View Full Record in Web of Science</v>
      </c>
    </row>
    <row r="742" spans="1:72" x14ac:dyDescent="0.15">
      <c r="A742" t="s">
        <v>72</v>
      </c>
      <c r="B742" t="s">
        <v>11363</v>
      </c>
      <c r="C742" t="s">
        <v>74</v>
      </c>
      <c r="D742" t="s">
        <v>74</v>
      </c>
      <c r="E742" t="s">
        <v>74</v>
      </c>
      <c r="F742" t="s">
        <v>11363</v>
      </c>
      <c r="G742" t="s">
        <v>74</v>
      </c>
      <c r="H742" t="s">
        <v>74</v>
      </c>
      <c r="I742" t="s">
        <v>11364</v>
      </c>
      <c r="J742" t="s">
        <v>11365</v>
      </c>
      <c r="K742" t="s">
        <v>74</v>
      </c>
      <c r="L742" t="s">
        <v>74</v>
      </c>
      <c r="M742" t="s">
        <v>77</v>
      </c>
      <c r="N742" t="s">
        <v>5777</v>
      </c>
      <c r="O742" t="s">
        <v>74</v>
      </c>
      <c r="P742" t="s">
        <v>74</v>
      </c>
      <c r="Q742" t="s">
        <v>74</v>
      </c>
      <c r="R742" t="s">
        <v>74</v>
      </c>
      <c r="S742" t="s">
        <v>74</v>
      </c>
      <c r="T742" t="s">
        <v>74</v>
      </c>
      <c r="U742" t="s">
        <v>74</v>
      </c>
      <c r="V742" t="s">
        <v>74</v>
      </c>
      <c r="W742" t="s">
        <v>11366</v>
      </c>
      <c r="X742" t="s">
        <v>11367</v>
      </c>
      <c r="Y742" t="s">
        <v>11368</v>
      </c>
      <c r="Z742" t="s">
        <v>74</v>
      </c>
      <c r="AA742" t="s">
        <v>74</v>
      </c>
      <c r="AB742" t="s">
        <v>74</v>
      </c>
      <c r="AC742" t="s">
        <v>74</v>
      </c>
      <c r="AD742" t="s">
        <v>74</v>
      </c>
      <c r="AE742" t="s">
        <v>74</v>
      </c>
      <c r="AF742" t="s">
        <v>74</v>
      </c>
      <c r="AG742">
        <v>0</v>
      </c>
      <c r="AH742">
        <v>0</v>
      </c>
      <c r="AI742">
        <v>0</v>
      </c>
      <c r="AJ742">
        <v>0</v>
      </c>
      <c r="AK742">
        <v>1</v>
      </c>
      <c r="AL742" t="s">
        <v>11369</v>
      </c>
      <c r="AM742" t="s">
        <v>8328</v>
      </c>
      <c r="AN742" t="s">
        <v>11370</v>
      </c>
      <c r="AO742" t="s">
        <v>11371</v>
      </c>
      <c r="AP742" t="s">
        <v>74</v>
      </c>
      <c r="AQ742" t="s">
        <v>74</v>
      </c>
      <c r="AR742" t="s">
        <v>11365</v>
      </c>
      <c r="AS742" t="s">
        <v>11372</v>
      </c>
      <c r="AT742" t="s">
        <v>10970</v>
      </c>
      <c r="AU742">
        <v>2005</v>
      </c>
      <c r="AV742">
        <v>50</v>
      </c>
      <c r="AW742">
        <v>9</v>
      </c>
      <c r="AX742" t="s">
        <v>74</v>
      </c>
      <c r="AY742" t="s">
        <v>74</v>
      </c>
      <c r="AZ742" t="s">
        <v>74</v>
      </c>
      <c r="BA742" t="s">
        <v>74</v>
      </c>
      <c r="BB742">
        <v>49</v>
      </c>
      <c r="BC742">
        <v>49</v>
      </c>
      <c r="BD742" t="s">
        <v>74</v>
      </c>
      <c r="BE742" t="s">
        <v>74</v>
      </c>
      <c r="BF742" t="s">
        <v>74</v>
      </c>
      <c r="BG742" t="s">
        <v>74</v>
      </c>
      <c r="BH742" t="s">
        <v>74</v>
      </c>
      <c r="BI742">
        <v>1</v>
      </c>
      <c r="BJ742" t="s">
        <v>1129</v>
      </c>
      <c r="BK742" t="s">
        <v>98</v>
      </c>
      <c r="BL742" t="s">
        <v>1130</v>
      </c>
      <c r="BM742" t="s">
        <v>11373</v>
      </c>
      <c r="BN742" t="s">
        <v>74</v>
      </c>
      <c r="BO742" t="s">
        <v>74</v>
      </c>
      <c r="BP742" t="s">
        <v>74</v>
      </c>
      <c r="BQ742" t="s">
        <v>74</v>
      </c>
      <c r="BR742" t="s">
        <v>101</v>
      </c>
      <c r="BS742" t="s">
        <v>11374</v>
      </c>
      <c r="BT742" t="str">
        <f>HYPERLINK("https%3A%2F%2Fwww.webofscience.com%2Fwos%2Fwoscc%2Ffull-record%2FWOS:000231752200033","View Full Record in Web of Science")</f>
        <v>View Full Record in Web of Science</v>
      </c>
    </row>
    <row r="743" spans="1:72" x14ac:dyDescent="0.15">
      <c r="A743" t="s">
        <v>72</v>
      </c>
      <c r="B743" t="s">
        <v>11375</v>
      </c>
      <c r="C743" t="s">
        <v>74</v>
      </c>
      <c r="D743" t="s">
        <v>74</v>
      </c>
      <c r="E743" t="s">
        <v>74</v>
      </c>
      <c r="F743" t="s">
        <v>11375</v>
      </c>
      <c r="G743" t="s">
        <v>74</v>
      </c>
      <c r="H743" t="s">
        <v>74</v>
      </c>
      <c r="I743" t="s">
        <v>11376</v>
      </c>
      <c r="J743" t="s">
        <v>8624</v>
      </c>
      <c r="K743" t="s">
        <v>74</v>
      </c>
      <c r="L743" t="s">
        <v>74</v>
      </c>
      <c r="M743" t="s">
        <v>77</v>
      </c>
      <c r="N743" t="s">
        <v>78</v>
      </c>
      <c r="O743" t="s">
        <v>74</v>
      </c>
      <c r="P743" t="s">
        <v>74</v>
      </c>
      <c r="Q743" t="s">
        <v>74</v>
      </c>
      <c r="R743" t="s">
        <v>74</v>
      </c>
      <c r="S743" t="s">
        <v>74</v>
      </c>
      <c r="T743" t="s">
        <v>11377</v>
      </c>
      <c r="U743" t="s">
        <v>11378</v>
      </c>
      <c r="V743" t="s">
        <v>11379</v>
      </c>
      <c r="W743" t="s">
        <v>11380</v>
      </c>
      <c r="X743" t="s">
        <v>11381</v>
      </c>
      <c r="Y743" t="s">
        <v>11382</v>
      </c>
      <c r="Z743" t="s">
        <v>11383</v>
      </c>
      <c r="AA743" t="s">
        <v>11384</v>
      </c>
      <c r="AB743" t="s">
        <v>11385</v>
      </c>
      <c r="AC743" t="s">
        <v>74</v>
      </c>
      <c r="AD743" t="s">
        <v>74</v>
      </c>
      <c r="AE743" t="s">
        <v>74</v>
      </c>
      <c r="AF743" t="s">
        <v>74</v>
      </c>
      <c r="AG743">
        <v>33</v>
      </c>
      <c r="AH743">
        <v>48</v>
      </c>
      <c r="AI743">
        <v>52</v>
      </c>
      <c r="AJ743">
        <v>0</v>
      </c>
      <c r="AK743">
        <v>8</v>
      </c>
      <c r="AL743" t="s">
        <v>3283</v>
      </c>
      <c r="AM743" t="s">
        <v>1148</v>
      </c>
      <c r="AN743" t="s">
        <v>3284</v>
      </c>
      <c r="AO743" t="s">
        <v>8632</v>
      </c>
      <c r="AP743" t="s">
        <v>8633</v>
      </c>
      <c r="AQ743" t="s">
        <v>74</v>
      </c>
      <c r="AR743" t="s">
        <v>8634</v>
      </c>
      <c r="AS743" t="s">
        <v>8635</v>
      </c>
      <c r="AT743" t="s">
        <v>10970</v>
      </c>
      <c r="AU743">
        <v>2005</v>
      </c>
      <c r="AV743">
        <v>48</v>
      </c>
      <c r="AW743" t="s">
        <v>1655</v>
      </c>
      <c r="AX743" t="s">
        <v>74</v>
      </c>
      <c r="AY743" t="s">
        <v>74</v>
      </c>
      <c r="AZ743" t="s">
        <v>74</v>
      </c>
      <c r="BA743" t="s">
        <v>74</v>
      </c>
      <c r="BB743">
        <v>9</v>
      </c>
      <c r="BC743">
        <v>27</v>
      </c>
      <c r="BD743" t="s">
        <v>74</v>
      </c>
      <c r="BE743" t="s">
        <v>11386</v>
      </c>
      <c r="BF743" t="str">
        <f>HYPERLINK("http://dx.doi.org/10.1016/j.gloplacha.2004.12.016","http://dx.doi.org/10.1016/j.gloplacha.2004.12.016")</f>
        <v>http://dx.doi.org/10.1016/j.gloplacha.2004.12.016</v>
      </c>
      <c r="BG743" t="s">
        <v>74</v>
      </c>
      <c r="BH743" t="s">
        <v>74</v>
      </c>
      <c r="BI743">
        <v>19</v>
      </c>
      <c r="BJ743" t="s">
        <v>2246</v>
      </c>
      <c r="BK743" t="s">
        <v>98</v>
      </c>
      <c r="BL743" t="s">
        <v>1531</v>
      </c>
      <c r="BM743" t="s">
        <v>11387</v>
      </c>
      <c r="BN743" t="s">
        <v>74</v>
      </c>
      <c r="BO743" t="s">
        <v>74</v>
      </c>
      <c r="BP743" t="s">
        <v>74</v>
      </c>
      <c r="BQ743" t="s">
        <v>74</v>
      </c>
      <c r="BR743" t="s">
        <v>101</v>
      </c>
      <c r="BS743" t="s">
        <v>11388</v>
      </c>
      <c r="BT743" t="str">
        <f>HYPERLINK("https%3A%2F%2Fwww.webofscience.com%2Fwos%2Fwoscc%2Ffull-record%2FWOS:000232013000002","View Full Record in Web of Science")</f>
        <v>View Full Record in Web of Science</v>
      </c>
    </row>
    <row r="744" spans="1:72" x14ac:dyDescent="0.15">
      <c r="A744" t="s">
        <v>72</v>
      </c>
      <c r="B744" t="s">
        <v>11389</v>
      </c>
      <c r="C744" t="s">
        <v>74</v>
      </c>
      <c r="D744" t="s">
        <v>74</v>
      </c>
      <c r="E744" t="s">
        <v>74</v>
      </c>
      <c r="F744" t="s">
        <v>11389</v>
      </c>
      <c r="G744" t="s">
        <v>74</v>
      </c>
      <c r="H744" t="s">
        <v>74</v>
      </c>
      <c r="I744" t="s">
        <v>11390</v>
      </c>
      <c r="J744" t="s">
        <v>8624</v>
      </c>
      <c r="K744" t="s">
        <v>74</v>
      </c>
      <c r="L744" t="s">
        <v>74</v>
      </c>
      <c r="M744" t="s">
        <v>77</v>
      </c>
      <c r="N744" t="s">
        <v>78</v>
      </c>
      <c r="O744" t="s">
        <v>74</v>
      </c>
      <c r="P744" t="s">
        <v>74</v>
      </c>
      <c r="Q744" t="s">
        <v>74</v>
      </c>
      <c r="R744" t="s">
        <v>74</v>
      </c>
      <c r="S744" t="s">
        <v>74</v>
      </c>
      <c r="T744" t="s">
        <v>11391</v>
      </c>
      <c r="U744" t="s">
        <v>11392</v>
      </c>
      <c r="V744" t="s">
        <v>11393</v>
      </c>
      <c r="W744" t="s">
        <v>11394</v>
      </c>
      <c r="X744" t="s">
        <v>11395</v>
      </c>
      <c r="Y744" t="s">
        <v>11396</v>
      </c>
      <c r="Z744" t="s">
        <v>11397</v>
      </c>
      <c r="AA744" t="s">
        <v>11398</v>
      </c>
      <c r="AB744" t="s">
        <v>11385</v>
      </c>
      <c r="AC744" t="s">
        <v>74</v>
      </c>
      <c r="AD744" t="s">
        <v>74</v>
      </c>
      <c r="AE744" t="s">
        <v>74</v>
      </c>
      <c r="AF744" t="s">
        <v>74</v>
      </c>
      <c r="AG744">
        <v>83</v>
      </c>
      <c r="AH744">
        <v>67</v>
      </c>
      <c r="AI744">
        <v>79</v>
      </c>
      <c r="AJ744">
        <v>0</v>
      </c>
      <c r="AK744">
        <v>17</v>
      </c>
      <c r="AL744" t="s">
        <v>1147</v>
      </c>
      <c r="AM744" t="s">
        <v>1148</v>
      </c>
      <c r="AN744" t="s">
        <v>1149</v>
      </c>
      <c r="AO744" t="s">
        <v>8632</v>
      </c>
      <c r="AP744" t="s">
        <v>8633</v>
      </c>
      <c r="AQ744" t="s">
        <v>74</v>
      </c>
      <c r="AR744" t="s">
        <v>8634</v>
      </c>
      <c r="AS744" t="s">
        <v>8635</v>
      </c>
      <c r="AT744" t="s">
        <v>10970</v>
      </c>
      <c r="AU744">
        <v>2005</v>
      </c>
      <c r="AV744">
        <v>48</v>
      </c>
      <c r="AW744" t="s">
        <v>1655</v>
      </c>
      <c r="AX744" t="s">
        <v>74</v>
      </c>
      <c r="AY744" t="s">
        <v>74</v>
      </c>
      <c r="AZ744" t="s">
        <v>74</v>
      </c>
      <c r="BA744" t="s">
        <v>74</v>
      </c>
      <c r="BB744">
        <v>55</v>
      </c>
      <c r="BC744">
        <v>83</v>
      </c>
      <c r="BD744" t="s">
        <v>74</v>
      </c>
      <c r="BE744" t="s">
        <v>11399</v>
      </c>
      <c r="BF744" t="str">
        <f>HYPERLINK("http://dx.doi.org/10.1016/j.gloplacha.2004.12.005","http://dx.doi.org/10.1016/j.gloplacha.2004.12.005")</f>
        <v>http://dx.doi.org/10.1016/j.gloplacha.2004.12.005</v>
      </c>
      <c r="BG744" t="s">
        <v>74</v>
      </c>
      <c r="BH744" t="s">
        <v>74</v>
      </c>
      <c r="BI744">
        <v>29</v>
      </c>
      <c r="BJ744" t="s">
        <v>2246</v>
      </c>
      <c r="BK744" t="s">
        <v>98</v>
      </c>
      <c r="BL744" t="s">
        <v>1531</v>
      </c>
      <c r="BM744" t="s">
        <v>11387</v>
      </c>
      <c r="BN744" t="s">
        <v>74</v>
      </c>
      <c r="BO744" t="s">
        <v>74</v>
      </c>
      <c r="BP744" t="s">
        <v>74</v>
      </c>
      <c r="BQ744" t="s">
        <v>74</v>
      </c>
      <c r="BR744" t="s">
        <v>101</v>
      </c>
      <c r="BS744" t="s">
        <v>11400</v>
      </c>
      <c r="BT744" t="str">
        <f>HYPERLINK("https%3A%2F%2Fwww.webofscience.com%2Fwos%2Fwoscc%2Ffull-record%2FWOS:000232013000004","View Full Record in Web of Science")</f>
        <v>View Full Record in Web of Science</v>
      </c>
    </row>
    <row r="745" spans="1:72" x14ac:dyDescent="0.15">
      <c r="A745" t="s">
        <v>72</v>
      </c>
      <c r="B745" t="s">
        <v>11401</v>
      </c>
      <c r="C745" t="s">
        <v>74</v>
      </c>
      <c r="D745" t="s">
        <v>74</v>
      </c>
      <c r="E745" t="s">
        <v>74</v>
      </c>
      <c r="F745" t="s">
        <v>11401</v>
      </c>
      <c r="G745" t="s">
        <v>74</v>
      </c>
      <c r="H745" t="s">
        <v>74</v>
      </c>
      <c r="I745" t="s">
        <v>11402</v>
      </c>
      <c r="J745" t="s">
        <v>8624</v>
      </c>
      <c r="K745" t="s">
        <v>74</v>
      </c>
      <c r="L745" t="s">
        <v>74</v>
      </c>
      <c r="M745" t="s">
        <v>77</v>
      </c>
      <c r="N745" t="s">
        <v>78</v>
      </c>
      <c r="O745" t="s">
        <v>74</v>
      </c>
      <c r="P745" t="s">
        <v>74</v>
      </c>
      <c r="Q745" t="s">
        <v>74</v>
      </c>
      <c r="R745" t="s">
        <v>74</v>
      </c>
      <c r="S745" t="s">
        <v>74</v>
      </c>
      <c r="T745" t="s">
        <v>11403</v>
      </c>
      <c r="U745" t="s">
        <v>11404</v>
      </c>
      <c r="V745" t="s">
        <v>11405</v>
      </c>
      <c r="W745" t="s">
        <v>11406</v>
      </c>
      <c r="X745" t="s">
        <v>11407</v>
      </c>
      <c r="Y745" t="s">
        <v>11408</v>
      </c>
      <c r="Z745" t="s">
        <v>11409</v>
      </c>
      <c r="AA745" t="s">
        <v>11410</v>
      </c>
      <c r="AB745" t="s">
        <v>11385</v>
      </c>
      <c r="AC745" t="s">
        <v>74</v>
      </c>
      <c r="AD745" t="s">
        <v>74</v>
      </c>
      <c r="AE745" t="s">
        <v>74</v>
      </c>
      <c r="AF745" t="s">
        <v>74</v>
      </c>
      <c r="AG745">
        <v>71</v>
      </c>
      <c r="AH745">
        <v>45</v>
      </c>
      <c r="AI745">
        <v>48</v>
      </c>
      <c r="AJ745">
        <v>0</v>
      </c>
      <c r="AK745">
        <v>8</v>
      </c>
      <c r="AL745" t="s">
        <v>3283</v>
      </c>
      <c r="AM745" t="s">
        <v>1148</v>
      </c>
      <c r="AN745" t="s">
        <v>3284</v>
      </c>
      <c r="AO745" t="s">
        <v>8632</v>
      </c>
      <c r="AP745" t="s">
        <v>8633</v>
      </c>
      <c r="AQ745" t="s">
        <v>74</v>
      </c>
      <c r="AR745" t="s">
        <v>8634</v>
      </c>
      <c r="AS745" t="s">
        <v>8635</v>
      </c>
      <c r="AT745" t="s">
        <v>10970</v>
      </c>
      <c r="AU745">
        <v>2005</v>
      </c>
      <c r="AV745">
        <v>48</v>
      </c>
      <c r="AW745" t="s">
        <v>1655</v>
      </c>
      <c r="AX745" t="s">
        <v>74</v>
      </c>
      <c r="AY745" t="s">
        <v>74</v>
      </c>
      <c r="AZ745" t="s">
        <v>74</v>
      </c>
      <c r="BA745" t="s">
        <v>74</v>
      </c>
      <c r="BB745">
        <v>126</v>
      </c>
      <c r="BC745">
        <v>140</v>
      </c>
      <c r="BD745" t="s">
        <v>74</v>
      </c>
      <c r="BE745" t="s">
        <v>11411</v>
      </c>
      <c r="BF745" t="str">
        <f>HYPERLINK("http://dx.doi.org/10.1016/j.gloplacha.2004.12.009","http://dx.doi.org/10.1016/j.gloplacha.2004.12.009")</f>
        <v>http://dx.doi.org/10.1016/j.gloplacha.2004.12.009</v>
      </c>
      <c r="BG745" t="s">
        <v>74</v>
      </c>
      <c r="BH745" t="s">
        <v>74</v>
      </c>
      <c r="BI745">
        <v>15</v>
      </c>
      <c r="BJ745" t="s">
        <v>2246</v>
      </c>
      <c r="BK745" t="s">
        <v>98</v>
      </c>
      <c r="BL745" t="s">
        <v>1531</v>
      </c>
      <c r="BM745" t="s">
        <v>11387</v>
      </c>
      <c r="BN745" t="s">
        <v>74</v>
      </c>
      <c r="BO745" t="s">
        <v>74</v>
      </c>
      <c r="BP745" t="s">
        <v>74</v>
      </c>
      <c r="BQ745" t="s">
        <v>74</v>
      </c>
      <c r="BR745" t="s">
        <v>101</v>
      </c>
      <c r="BS745" t="s">
        <v>11412</v>
      </c>
      <c r="BT745" t="str">
        <f>HYPERLINK("https%3A%2F%2Fwww.webofscience.com%2Fwos%2Fwoscc%2Ffull-record%2FWOS:000232013000008","View Full Record in Web of Science")</f>
        <v>View Full Record in Web of Science</v>
      </c>
    </row>
    <row r="746" spans="1:72" x14ac:dyDescent="0.15">
      <c r="A746" t="s">
        <v>72</v>
      </c>
      <c r="B746" t="s">
        <v>11413</v>
      </c>
      <c r="C746" t="s">
        <v>74</v>
      </c>
      <c r="D746" t="s">
        <v>74</v>
      </c>
      <c r="E746" t="s">
        <v>74</v>
      </c>
      <c r="F746" t="s">
        <v>11413</v>
      </c>
      <c r="G746" t="s">
        <v>74</v>
      </c>
      <c r="H746" t="s">
        <v>74</v>
      </c>
      <c r="I746" t="s">
        <v>11414</v>
      </c>
      <c r="J746" t="s">
        <v>11415</v>
      </c>
      <c r="K746" t="s">
        <v>74</v>
      </c>
      <c r="L746" t="s">
        <v>74</v>
      </c>
      <c r="M746" t="s">
        <v>77</v>
      </c>
      <c r="N746" t="s">
        <v>4570</v>
      </c>
      <c r="O746" t="s">
        <v>74</v>
      </c>
      <c r="P746" t="s">
        <v>74</v>
      </c>
      <c r="Q746" t="s">
        <v>74</v>
      </c>
      <c r="R746" t="s">
        <v>74</v>
      </c>
      <c r="S746" t="s">
        <v>74</v>
      </c>
      <c r="T746" t="s">
        <v>74</v>
      </c>
      <c r="U746" t="s">
        <v>74</v>
      </c>
      <c r="V746" t="s">
        <v>74</v>
      </c>
      <c r="W746" t="s">
        <v>74</v>
      </c>
      <c r="X746" t="s">
        <v>74</v>
      </c>
      <c r="Y746" t="s">
        <v>74</v>
      </c>
      <c r="Z746" t="s">
        <v>74</v>
      </c>
      <c r="AA746" t="s">
        <v>74</v>
      </c>
      <c r="AB746" t="s">
        <v>74</v>
      </c>
      <c r="AC746" t="s">
        <v>74</v>
      </c>
      <c r="AD746" t="s">
        <v>74</v>
      </c>
      <c r="AE746" t="s">
        <v>74</v>
      </c>
      <c r="AF746" t="s">
        <v>74</v>
      </c>
      <c r="AG746">
        <v>1</v>
      </c>
      <c r="AH746">
        <v>0</v>
      </c>
      <c r="AI746">
        <v>0</v>
      </c>
      <c r="AJ746">
        <v>0</v>
      </c>
      <c r="AK746">
        <v>1</v>
      </c>
      <c r="AL746" t="s">
        <v>2239</v>
      </c>
      <c r="AM746" t="s">
        <v>89</v>
      </c>
      <c r="AN746" t="s">
        <v>5779</v>
      </c>
      <c r="AO746" t="s">
        <v>11416</v>
      </c>
      <c r="AP746" t="s">
        <v>74</v>
      </c>
      <c r="AQ746" t="s">
        <v>74</v>
      </c>
      <c r="AR746" t="s">
        <v>11417</v>
      </c>
      <c r="AS746" t="s">
        <v>11418</v>
      </c>
      <c r="AT746" t="s">
        <v>10970</v>
      </c>
      <c r="AU746">
        <v>2005</v>
      </c>
      <c r="AV746">
        <v>48</v>
      </c>
      <c r="AW746">
        <v>3</v>
      </c>
      <c r="AX746" t="s">
        <v>74</v>
      </c>
      <c r="AY746" t="s">
        <v>74</v>
      </c>
      <c r="AZ746" t="s">
        <v>74</v>
      </c>
      <c r="BA746" t="s">
        <v>74</v>
      </c>
      <c r="BB746">
        <v>848</v>
      </c>
      <c r="BC746">
        <v>849</v>
      </c>
      <c r="BD746" t="s">
        <v>74</v>
      </c>
      <c r="BE746" t="s">
        <v>11419</v>
      </c>
      <c r="BF746" t="str">
        <f>HYPERLINK("http://dx.doi.org/10.1017/S0018246X05294815","http://dx.doi.org/10.1017/S0018246X05294815")</f>
        <v>http://dx.doi.org/10.1017/S0018246X05294815</v>
      </c>
      <c r="BG746" t="s">
        <v>74</v>
      </c>
      <c r="BH746" t="s">
        <v>74</v>
      </c>
      <c r="BI746">
        <v>2</v>
      </c>
      <c r="BJ746" t="s">
        <v>4578</v>
      </c>
      <c r="BK746" t="s">
        <v>4614</v>
      </c>
      <c r="BL746" t="s">
        <v>4578</v>
      </c>
      <c r="BM746" t="s">
        <v>11420</v>
      </c>
      <c r="BN746" t="s">
        <v>74</v>
      </c>
      <c r="BO746" t="s">
        <v>74</v>
      </c>
      <c r="BP746" t="s">
        <v>74</v>
      </c>
      <c r="BQ746" t="s">
        <v>74</v>
      </c>
      <c r="BR746" t="s">
        <v>101</v>
      </c>
      <c r="BS746" t="s">
        <v>11421</v>
      </c>
      <c r="BT746" t="str">
        <f>HYPERLINK("https%3A%2F%2Fwww.webofscience.com%2Fwos%2Fwoscc%2Ffull-record%2FWOS:000232584700019","View Full Record in Web of Science")</f>
        <v>View Full Record in Web of Science</v>
      </c>
    </row>
    <row r="747" spans="1:72" x14ac:dyDescent="0.15">
      <c r="A747" t="s">
        <v>72</v>
      </c>
      <c r="B747" t="s">
        <v>11422</v>
      </c>
      <c r="C747" t="s">
        <v>74</v>
      </c>
      <c r="D747" t="s">
        <v>74</v>
      </c>
      <c r="E747" t="s">
        <v>74</v>
      </c>
      <c r="F747" t="s">
        <v>11422</v>
      </c>
      <c r="G747" t="s">
        <v>74</v>
      </c>
      <c r="H747" t="s">
        <v>74</v>
      </c>
      <c r="I747" t="s">
        <v>11423</v>
      </c>
      <c r="J747" t="s">
        <v>11424</v>
      </c>
      <c r="K747" t="s">
        <v>74</v>
      </c>
      <c r="L747" t="s">
        <v>74</v>
      </c>
      <c r="M747" t="s">
        <v>77</v>
      </c>
      <c r="N747" t="s">
        <v>78</v>
      </c>
      <c r="O747" t="s">
        <v>74</v>
      </c>
      <c r="P747" t="s">
        <v>74</v>
      </c>
      <c r="Q747" t="s">
        <v>74</v>
      </c>
      <c r="R747" t="s">
        <v>74</v>
      </c>
      <c r="S747" t="s">
        <v>74</v>
      </c>
      <c r="T747" t="s">
        <v>74</v>
      </c>
      <c r="U747" t="s">
        <v>11425</v>
      </c>
      <c r="V747" t="s">
        <v>11426</v>
      </c>
      <c r="W747" t="s">
        <v>11427</v>
      </c>
      <c r="X747" t="s">
        <v>11428</v>
      </c>
      <c r="Y747" t="s">
        <v>11429</v>
      </c>
      <c r="Z747" t="s">
        <v>11430</v>
      </c>
      <c r="AA747" t="s">
        <v>11431</v>
      </c>
      <c r="AB747" t="s">
        <v>74</v>
      </c>
      <c r="AC747" t="s">
        <v>74</v>
      </c>
      <c r="AD747" t="s">
        <v>74</v>
      </c>
      <c r="AE747" t="s">
        <v>74</v>
      </c>
      <c r="AF747" t="s">
        <v>74</v>
      </c>
      <c r="AG747">
        <v>17</v>
      </c>
      <c r="AH747">
        <v>23</v>
      </c>
      <c r="AI747">
        <v>23</v>
      </c>
      <c r="AJ747">
        <v>0</v>
      </c>
      <c r="AK747">
        <v>17</v>
      </c>
      <c r="AL747" t="s">
        <v>115</v>
      </c>
      <c r="AM747" t="s">
        <v>89</v>
      </c>
      <c r="AN747" t="s">
        <v>116</v>
      </c>
      <c r="AO747" t="s">
        <v>11432</v>
      </c>
      <c r="AP747" t="s">
        <v>11433</v>
      </c>
      <c r="AQ747" t="s">
        <v>74</v>
      </c>
      <c r="AR747" t="s">
        <v>11434</v>
      </c>
      <c r="AS747" t="s">
        <v>11435</v>
      </c>
      <c r="AT747" t="s">
        <v>11436</v>
      </c>
      <c r="AU747">
        <v>2005</v>
      </c>
      <c r="AV747">
        <v>41</v>
      </c>
      <c r="AW747">
        <v>5</v>
      </c>
      <c r="AX747" t="s">
        <v>74</v>
      </c>
      <c r="AY747" t="s">
        <v>74</v>
      </c>
      <c r="AZ747" t="s">
        <v>74</v>
      </c>
      <c r="BA747" t="s">
        <v>74</v>
      </c>
      <c r="BB747">
        <v>523</v>
      </c>
      <c r="BC747">
        <v>536</v>
      </c>
      <c r="BD747" t="s">
        <v>74</v>
      </c>
      <c r="BE747" t="s">
        <v>74</v>
      </c>
      <c r="BF747" t="s">
        <v>74</v>
      </c>
      <c r="BG747" t="s">
        <v>74</v>
      </c>
      <c r="BH747" t="s">
        <v>74</v>
      </c>
      <c r="BI747">
        <v>14</v>
      </c>
      <c r="BJ747" t="s">
        <v>3614</v>
      </c>
      <c r="BK747" t="s">
        <v>98</v>
      </c>
      <c r="BL747" t="s">
        <v>3614</v>
      </c>
      <c r="BM747" t="s">
        <v>11437</v>
      </c>
      <c r="BN747" t="s">
        <v>74</v>
      </c>
      <c r="BO747" t="s">
        <v>74</v>
      </c>
      <c r="BP747" t="s">
        <v>74</v>
      </c>
      <c r="BQ747" t="s">
        <v>74</v>
      </c>
      <c r="BR747" t="s">
        <v>101</v>
      </c>
      <c r="BS747" t="s">
        <v>11438</v>
      </c>
      <c r="BT747" t="str">
        <f>HYPERLINK("https%3A%2F%2Fwww.webofscience.com%2Fwos%2Fwoscc%2Ffull-record%2FWOS:000232822600001","View Full Record in Web of Science")</f>
        <v>View Full Record in Web of Science</v>
      </c>
    </row>
    <row r="748" spans="1:72" x14ac:dyDescent="0.15">
      <c r="A748" t="s">
        <v>72</v>
      </c>
      <c r="B748" t="s">
        <v>11439</v>
      </c>
      <c r="C748" t="s">
        <v>74</v>
      </c>
      <c r="D748" t="s">
        <v>74</v>
      </c>
      <c r="E748" t="s">
        <v>74</v>
      </c>
      <c r="F748" t="s">
        <v>11439</v>
      </c>
      <c r="G748" t="s">
        <v>74</v>
      </c>
      <c r="H748" t="s">
        <v>74</v>
      </c>
      <c r="I748" t="s">
        <v>11440</v>
      </c>
      <c r="J748" t="s">
        <v>11424</v>
      </c>
      <c r="K748" t="s">
        <v>74</v>
      </c>
      <c r="L748" t="s">
        <v>74</v>
      </c>
      <c r="M748" t="s">
        <v>77</v>
      </c>
      <c r="N748" t="s">
        <v>78</v>
      </c>
      <c r="O748" t="s">
        <v>74</v>
      </c>
      <c r="P748" t="s">
        <v>74</v>
      </c>
      <c r="Q748" t="s">
        <v>74</v>
      </c>
      <c r="R748" t="s">
        <v>74</v>
      </c>
      <c r="S748" t="s">
        <v>74</v>
      </c>
      <c r="T748" t="s">
        <v>74</v>
      </c>
      <c r="U748" t="s">
        <v>11441</v>
      </c>
      <c r="V748" t="s">
        <v>11442</v>
      </c>
      <c r="W748" t="s">
        <v>11443</v>
      </c>
      <c r="X748" t="s">
        <v>11444</v>
      </c>
      <c r="Y748" t="s">
        <v>11445</v>
      </c>
      <c r="Z748" t="s">
        <v>11446</v>
      </c>
      <c r="AA748" t="s">
        <v>74</v>
      </c>
      <c r="AB748" t="s">
        <v>74</v>
      </c>
      <c r="AC748" t="s">
        <v>74</v>
      </c>
      <c r="AD748" t="s">
        <v>74</v>
      </c>
      <c r="AE748" t="s">
        <v>74</v>
      </c>
      <c r="AF748" t="s">
        <v>74</v>
      </c>
      <c r="AG748">
        <v>28</v>
      </c>
      <c r="AH748">
        <v>0</v>
      </c>
      <c r="AI748">
        <v>0</v>
      </c>
      <c r="AJ748">
        <v>0</v>
      </c>
      <c r="AK748">
        <v>0</v>
      </c>
      <c r="AL748" t="s">
        <v>11447</v>
      </c>
      <c r="AM748" t="s">
        <v>11448</v>
      </c>
      <c r="AN748" t="s">
        <v>11449</v>
      </c>
      <c r="AO748" t="s">
        <v>11432</v>
      </c>
      <c r="AP748" t="s">
        <v>74</v>
      </c>
      <c r="AQ748" t="s">
        <v>74</v>
      </c>
      <c r="AR748" t="s">
        <v>11434</v>
      </c>
      <c r="AS748" t="s">
        <v>11435</v>
      </c>
      <c r="AT748" t="s">
        <v>11436</v>
      </c>
      <c r="AU748">
        <v>2005</v>
      </c>
      <c r="AV748">
        <v>41</v>
      </c>
      <c r="AW748">
        <v>5</v>
      </c>
      <c r="AX748" t="s">
        <v>74</v>
      </c>
      <c r="AY748" t="s">
        <v>74</v>
      </c>
      <c r="AZ748" t="s">
        <v>74</v>
      </c>
      <c r="BA748" t="s">
        <v>74</v>
      </c>
      <c r="BB748">
        <v>585</v>
      </c>
      <c r="BC748">
        <v>593</v>
      </c>
      <c r="BD748" t="s">
        <v>74</v>
      </c>
      <c r="BE748" t="s">
        <v>74</v>
      </c>
      <c r="BF748" t="s">
        <v>74</v>
      </c>
      <c r="BG748" t="s">
        <v>74</v>
      </c>
      <c r="BH748" t="s">
        <v>74</v>
      </c>
      <c r="BI748">
        <v>9</v>
      </c>
      <c r="BJ748" t="s">
        <v>3614</v>
      </c>
      <c r="BK748" t="s">
        <v>98</v>
      </c>
      <c r="BL748" t="s">
        <v>3614</v>
      </c>
      <c r="BM748" t="s">
        <v>11437</v>
      </c>
      <c r="BN748" t="s">
        <v>74</v>
      </c>
      <c r="BO748" t="s">
        <v>74</v>
      </c>
      <c r="BP748" t="s">
        <v>74</v>
      </c>
      <c r="BQ748" t="s">
        <v>74</v>
      </c>
      <c r="BR748" t="s">
        <v>101</v>
      </c>
      <c r="BS748" t="s">
        <v>11450</v>
      </c>
      <c r="BT748" t="str">
        <f>HYPERLINK("https%3A%2F%2Fwww.webofscience.com%2Fwos%2Fwoscc%2Ffull-record%2FWOS:000232822600007","View Full Record in Web of Science")</f>
        <v>View Full Record in Web of Science</v>
      </c>
    </row>
    <row r="749" spans="1:72" x14ac:dyDescent="0.15">
      <c r="A749" t="s">
        <v>72</v>
      </c>
      <c r="B749" t="s">
        <v>11451</v>
      </c>
      <c r="C749" t="s">
        <v>74</v>
      </c>
      <c r="D749" t="s">
        <v>74</v>
      </c>
      <c r="E749" t="s">
        <v>74</v>
      </c>
      <c r="F749" t="s">
        <v>11451</v>
      </c>
      <c r="G749" t="s">
        <v>74</v>
      </c>
      <c r="H749" t="s">
        <v>74</v>
      </c>
      <c r="I749" t="s">
        <v>11452</v>
      </c>
      <c r="J749" t="s">
        <v>8752</v>
      </c>
      <c r="K749" t="s">
        <v>74</v>
      </c>
      <c r="L749" t="s">
        <v>74</v>
      </c>
      <c r="M749" t="s">
        <v>77</v>
      </c>
      <c r="N749" t="s">
        <v>78</v>
      </c>
      <c r="O749" t="s">
        <v>74</v>
      </c>
      <c r="P749" t="s">
        <v>74</v>
      </c>
      <c r="Q749" t="s">
        <v>74</v>
      </c>
      <c r="R749" t="s">
        <v>74</v>
      </c>
      <c r="S749" t="s">
        <v>74</v>
      </c>
      <c r="T749" t="s">
        <v>11453</v>
      </c>
      <c r="U749" t="s">
        <v>11454</v>
      </c>
      <c r="V749" t="s">
        <v>11455</v>
      </c>
      <c r="W749" t="s">
        <v>11456</v>
      </c>
      <c r="X749" t="s">
        <v>8474</v>
      </c>
      <c r="Y749" t="s">
        <v>11457</v>
      </c>
      <c r="Z749" t="s">
        <v>11458</v>
      </c>
      <c r="AA749" t="s">
        <v>11459</v>
      </c>
      <c r="AB749" t="s">
        <v>11460</v>
      </c>
      <c r="AC749" t="s">
        <v>74</v>
      </c>
      <c r="AD749" t="s">
        <v>74</v>
      </c>
      <c r="AE749" t="s">
        <v>74</v>
      </c>
      <c r="AF749" t="s">
        <v>74</v>
      </c>
      <c r="AG749">
        <v>54</v>
      </c>
      <c r="AH749">
        <v>150</v>
      </c>
      <c r="AI749">
        <v>174</v>
      </c>
      <c r="AJ749">
        <v>3</v>
      </c>
      <c r="AK749">
        <v>53</v>
      </c>
      <c r="AL749" t="s">
        <v>2025</v>
      </c>
      <c r="AM749" t="s">
        <v>2026</v>
      </c>
      <c r="AN749" t="s">
        <v>2027</v>
      </c>
      <c r="AO749" t="s">
        <v>8762</v>
      </c>
      <c r="AP749" t="s">
        <v>11461</v>
      </c>
      <c r="AQ749" t="s">
        <v>74</v>
      </c>
      <c r="AR749" t="s">
        <v>8763</v>
      </c>
      <c r="AS749" t="s">
        <v>8764</v>
      </c>
      <c r="AT749" t="s">
        <v>10970</v>
      </c>
      <c r="AU749">
        <v>2005</v>
      </c>
      <c r="AV749">
        <v>74</v>
      </c>
      <c r="AW749">
        <v>5</v>
      </c>
      <c r="AX749" t="s">
        <v>74</v>
      </c>
      <c r="AY749" t="s">
        <v>74</v>
      </c>
      <c r="AZ749" t="s">
        <v>74</v>
      </c>
      <c r="BA749" t="s">
        <v>74</v>
      </c>
      <c r="BB749">
        <v>852</v>
      </c>
      <c r="BC749">
        <v>863</v>
      </c>
      <c r="BD749" t="s">
        <v>74</v>
      </c>
      <c r="BE749" t="s">
        <v>11462</v>
      </c>
      <c r="BF749" t="str">
        <f>HYPERLINK("http://dx.doi.org/10.1111/j.1365-2656.2005.00984.x","http://dx.doi.org/10.1111/j.1365-2656.2005.00984.x")</f>
        <v>http://dx.doi.org/10.1111/j.1365-2656.2005.00984.x</v>
      </c>
      <c r="BG749" t="s">
        <v>74</v>
      </c>
      <c r="BH749" t="s">
        <v>74</v>
      </c>
      <c r="BI749">
        <v>12</v>
      </c>
      <c r="BJ749" t="s">
        <v>5025</v>
      </c>
      <c r="BK749" t="s">
        <v>98</v>
      </c>
      <c r="BL749" t="s">
        <v>5026</v>
      </c>
      <c r="BM749" t="s">
        <v>11463</v>
      </c>
      <c r="BN749" t="s">
        <v>74</v>
      </c>
      <c r="BO749" t="s">
        <v>1900</v>
      </c>
      <c r="BP749" t="s">
        <v>74</v>
      </c>
      <c r="BQ749" t="s">
        <v>74</v>
      </c>
      <c r="BR749" t="s">
        <v>101</v>
      </c>
      <c r="BS749" t="s">
        <v>11464</v>
      </c>
      <c r="BT749" t="str">
        <f>HYPERLINK("https%3A%2F%2Fwww.webofscience.com%2Fwos%2Fwoscc%2Ffull-record%2FWOS:000231612100006","View Full Record in Web of Science")</f>
        <v>View Full Record in Web of Science</v>
      </c>
    </row>
    <row r="750" spans="1:72" x14ac:dyDescent="0.15">
      <c r="A750" t="s">
        <v>72</v>
      </c>
      <c r="B750" t="s">
        <v>11465</v>
      </c>
      <c r="C750" t="s">
        <v>74</v>
      </c>
      <c r="D750" t="s">
        <v>74</v>
      </c>
      <c r="E750" t="s">
        <v>74</v>
      </c>
      <c r="F750" t="s">
        <v>11465</v>
      </c>
      <c r="G750" t="s">
        <v>74</v>
      </c>
      <c r="H750" t="s">
        <v>74</v>
      </c>
      <c r="I750" t="s">
        <v>11466</v>
      </c>
      <c r="J750" t="s">
        <v>8770</v>
      </c>
      <c r="K750" t="s">
        <v>74</v>
      </c>
      <c r="L750" t="s">
        <v>74</v>
      </c>
      <c r="M750" t="s">
        <v>77</v>
      </c>
      <c r="N750" t="s">
        <v>78</v>
      </c>
      <c r="O750" t="s">
        <v>74</v>
      </c>
      <c r="P750" t="s">
        <v>74</v>
      </c>
      <c r="Q750" t="s">
        <v>74</v>
      </c>
      <c r="R750" t="s">
        <v>74</v>
      </c>
      <c r="S750" t="s">
        <v>74</v>
      </c>
      <c r="T750" t="s">
        <v>74</v>
      </c>
      <c r="U750" t="s">
        <v>11467</v>
      </c>
      <c r="V750" t="s">
        <v>11468</v>
      </c>
      <c r="W750" t="s">
        <v>11469</v>
      </c>
      <c r="X750" t="s">
        <v>788</v>
      </c>
      <c r="Y750" t="s">
        <v>11470</v>
      </c>
      <c r="Z750" t="s">
        <v>11471</v>
      </c>
      <c r="AA750" t="s">
        <v>11472</v>
      </c>
      <c r="AB750" t="s">
        <v>11473</v>
      </c>
      <c r="AC750" t="s">
        <v>74</v>
      </c>
      <c r="AD750" t="s">
        <v>74</v>
      </c>
      <c r="AE750" t="s">
        <v>74</v>
      </c>
      <c r="AF750" t="s">
        <v>74</v>
      </c>
      <c r="AG750">
        <v>31</v>
      </c>
      <c r="AH750">
        <v>17</v>
      </c>
      <c r="AI750">
        <v>22</v>
      </c>
      <c r="AJ750">
        <v>0</v>
      </c>
      <c r="AK750">
        <v>3</v>
      </c>
      <c r="AL750" t="s">
        <v>6583</v>
      </c>
      <c r="AM750" t="s">
        <v>6584</v>
      </c>
      <c r="AN750" t="s">
        <v>6585</v>
      </c>
      <c r="AO750" t="s">
        <v>8777</v>
      </c>
      <c r="AP750" t="s">
        <v>74</v>
      </c>
      <c r="AQ750" t="s">
        <v>74</v>
      </c>
      <c r="AR750" t="s">
        <v>8779</v>
      </c>
      <c r="AS750" t="s">
        <v>8780</v>
      </c>
      <c r="AT750" t="s">
        <v>10970</v>
      </c>
      <c r="AU750">
        <v>2005</v>
      </c>
      <c r="AV750">
        <v>22</v>
      </c>
      <c r="AW750">
        <v>9</v>
      </c>
      <c r="AX750" t="s">
        <v>74</v>
      </c>
      <c r="AY750" t="s">
        <v>74</v>
      </c>
      <c r="AZ750" t="s">
        <v>74</v>
      </c>
      <c r="BA750" t="s">
        <v>74</v>
      </c>
      <c r="BB750">
        <v>1309</v>
      </c>
      <c r="BC750">
        <v>1325</v>
      </c>
      <c r="BD750" t="s">
        <v>74</v>
      </c>
      <c r="BE750" t="s">
        <v>11474</v>
      </c>
      <c r="BF750" t="str">
        <f>HYPERLINK("http://dx.doi.org/10.1175/JTECH1779.1","http://dx.doi.org/10.1175/JTECH1779.1")</f>
        <v>http://dx.doi.org/10.1175/JTECH1779.1</v>
      </c>
      <c r="BG750" t="s">
        <v>74</v>
      </c>
      <c r="BH750" t="s">
        <v>74</v>
      </c>
      <c r="BI750">
        <v>17</v>
      </c>
      <c r="BJ750" t="s">
        <v>8782</v>
      </c>
      <c r="BK750" t="s">
        <v>98</v>
      </c>
      <c r="BL750" t="s">
        <v>8783</v>
      </c>
      <c r="BM750" t="s">
        <v>11475</v>
      </c>
      <c r="BN750" t="s">
        <v>74</v>
      </c>
      <c r="BO750" t="s">
        <v>2728</v>
      </c>
      <c r="BP750" t="s">
        <v>74</v>
      </c>
      <c r="BQ750" t="s">
        <v>74</v>
      </c>
      <c r="BR750" t="s">
        <v>101</v>
      </c>
      <c r="BS750" t="s">
        <v>11476</v>
      </c>
      <c r="BT750" t="str">
        <f>HYPERLINK("https%3A%2F%2Fwww.webofscience.com%2Fwos%2Fwoscc%2Ffull-record%2FWOS:000232556500001","View Full Record in Web of Science")</f>
        <v>View Full Record in Web of Science</v>
      </c>
    </row>
    <row r="751" spans="1:72" x14ac:dyDescent="0.15">
      <c r="A751" t="s">
        <v>72</v>
      </c>
      <c r="B751" t="s">
        <v>11477</v>
      </c>
      <c r="C751" t="s">
        <v>74</v>
      </c>
      <c r="D751" t="s">
        <v>74</v>
      </c>
      <c r="E751" t="s">
        <v>74</v>
      </c>
      <c r="F751" t="s">
        <v>11477</v>
      </c>
      <c r="G751" t="s">
        <v>74</v>
      </c>
      <c r="H751" t="s">
        <v>74</v>
      </c>
      <c r="I751" t="s">
        <v>11478</v>
      </c>
      <c r="J751" t="s">
        <v>11479</v>
      </c>
      <c r="K751" t="s">
        <v>74</v>
      </c>
      <c r="L751" t="s">
        <v>74</v>
      </c>
      <c r="M751" t="s">
        <v>77</v>
      </c>
      <c r="N751" t="s">
        <v>78</v>
      </c>
      <c r="O751" t="s">
        <v>74</v>
      </c>
      <c r="P751" t="s">
        <v>74</v>
      </c>
      <c r="Q751" t="s">
        <v>74</v>
      </c>
      <c r="R751" t="s">
        <v>74</v>
      </c>
      <c r="S751" t="s">
        <v>74</v>
      </c>
      <c r="T751" t="s">
        <v>74</v>
      </c>
      <c r="U751" t="s">
        <v>11480</v>
      </c>
      <c r="V751" t="s">
        <v>11481</v>
      </c>
      <c r="W751" t="s">
        <v>11482</v>
      </c>
      <c r="X751" t="s">
        <v>11483</v>
      </c>
      <c r="Y751" t="s">
        <v>11484</v>
      </c>
      <c r="Z751" t="s">
        <v>11485</v>
      </c>
      <c r="AA751" t="s">
        <v>11486</v>
      </c>
      <c r="AB751" t="s">
        <v>11487</v>
      </c>
      <c r="AC751" t="s">
        <v>74</v>
      </c>
      <c r="AD751" t="s">
        <v>74</v>
      </c>
      <c r="AE751" t="s">
        <v>74</v>
      </c>
      <c r="AF751" t="s">
        <v>74</v>
      </c>
      <c r="AG751">
        <v>27</v>
      </c>
      <c r="AH751">
        <v>32</v>
      </c>
      <c r="AI751">
        <v>35</v>
      </c>
      <c r="AJ751">
        <v>0</v>
      </c>
      <c r="AK751">
        <v>14</v>
      </c>
      <c r="AL751" t="s">
        <v>2540</v>
      </c>
      <c r="AM751" t="s">
        <v>2541</v>
      </c>
      <c r="AN751" t="s">
        <v>5896</v>
      </c>
      <c r="AO751" t="s">
        <v>11488</v>
      </c>
      <c r="AP751" t="s">
        <v>11489</v>
      </c>
      <c r="AQ751" t="s">
        <v>74</v>
      </c>
      <c r="AR751" t="s">
        <v>11490</v>
      </c>
      <c r="AS751" t="s">
        <v>11491</v>
      </c>
      <c r="AT751" t="s">
        <v>10970</v>
      </c>
      <c r="AU751">
        <v>2005</v>
      </c>
      <c r="AV751">
        <v>187</v>
      </c>
      <c r="AW751">
        <v>17</v>
      </c>
      <c r="AX751" t="s">
        <v>74</v>
      </c>
      <c r="AY751" t="s">
        <v>74</v>
      </c>
      <c r="AZ751" t="s">
        <v>74</v>
      </c>
      <c r="BA751" t="s">
        <v>74</v>
      </c>
      <c r="BB751">
        <v>6197</v>
      </c>
      <c r="BC751">
        <v>6205</v>
      </c>
      <c r="BD751" t="s">
        <v>74</v>
      </c>
      <c r="BE751" t="s">
        <v>11492</v>
      </c>
      <c r="BF751" t="str">
        <f>HYPERLINK("http://dx.doi.org/10.1128/JB.187.17.6197-6205.2005","http://dx.doi.org/10.1128/JB.187.17.6197-6205.2005")</f>
        <v>http://dx.doi.org/10.1128/JB.187.17.6197-6205.2005</v>
      </c>
      <c r="BG751" t="s">
        <v>74</v>
      </c>
      <c r="BH751" t="s">
        <v>74</v>
      </c>
      <c r="BI751">
        <v>9</v>
      </c>
      <c r="BJ751" t="s">
        <v>2054</v>
      </c>
      <c r="BK751" t="s">
        <v>98</v>
      </c>
      <c r="BL751" t="s">
        <v>2054</v>
      </c>
      <c r="BM751" t="s">
        <v>11493</v>
      </c>
      <c r="BN751">
        <v>16109961</v>
      </c>
      <c r="BO751" t="s">
        <v>722</v>
      </c>
      <c r="BP751" t="s">
        <v>74</v>
      </c>
      <c r="BQ751" t="s">
        <v>74</v>
      </c>
      <c r="BR751" t="s">
        <v>101</v>
      </c>
      <c r="BS751" t="s">
        <v>11494</v>
      </c>
      <c r="BT751" t="str">
        <f>HYPERLINK("https%3A%2F%2Fwww.webofscience.com%2Fwos%2Fwoscc%2Ffull-record%2FWOS:000231406000036","View Full Record in Web of Science")</f>
        <v>View Full Record in Web of Science</v>
      </c>
    </row>
    <row r="752" spans="1:72" x14ac:dyDescent="0.15">
      <c r="A752" t="s">
        <v>72</v>
      </c>
      <c r="B752" t="s">
        <v>11495</v>
      </c>
      <c r="C752" t="s">
        <v>74</v>
      </c>
      <c r="D752" t="s">
        <v>74</v>
      </c>
      <c r="E752" t="s">
        <v>74</v>
      </c>
      <c r="F752" t="s">
        <v>11495</v>
      </c>
      <c r="G752" t="s">
        <v>74</v>
      </c>
      <c r="H752" t="s">
        <v>74</v>
      </c>
      <c r="I752" t="s">
        <v>11496</v>
      </c>
      <c r="J752" t="s">
        <v>8800</v>
      </c>
      <c r="K752" t="s">
        <v>74</v>
      </c>
      <c r="L752" t="s">
        <v>74</v>
      </c>
      <c r="M752" t="s">
        <v>77</v>
      </c>
      <c r="N752" t="s">
        <v>78</v>
      </c>
      <c r="O752" t="s">
        <v>74</v>
      </c>
      <c r="P752" t="s">
        <v>74</v>
      </c>
      <c r="Q752" t="s">
        <v>74</v>
      </c>
      <c r="R752" t="s">
        <v>74</v>
      </c>
      <c r="S752" t="s">
        <v>74</v>
      </c>
      <c r="T752" t="s">
        <v>74</v>
      </c>
      <c r="U752" t="s">
        <v>11497</v>
      </c>
      <c r="V752" t="s">
        <v>11498</v>
      </c>
      <c r="W752" t="s">
        <v>11499</v>
      </c>
      <c r="X752" t="s">
        <v>11500</v>
      </c>
      <c r="Y752" t="s">
        <v>11501</v>
      </c>
      <c r="Z752" t="s">
        <v>11502</v>
      </c>
      <c r="AA752" t="s">
        <v>11503</v>
      </c>
      <c r="AB752" t="s">
        <v>74</v>
      </c>
      <c r="AC752" t="s">
        <v>74</v>
      </c>
      <c r="AD752" t="s">
        <v>74</v>
      </c>
      <c r="AE752" t="s">
        <v>74</v>
      </c>
      <c r="AF752" t="s">
        <v>74</v>
      </c>
      <c r="AG752">
        <v>51</v>
      </c>
      <c r="AH752">
        <v>144</v>
      </c>
      <c r="AI752">
        <v>169</v>
      </c>
      <c r="AJ752">
        <v>2</v>
      </c>
      <c r="AK752">
        <v>50</v>
      </c>
      <c r="AL752" t="s">
        <v>6583</v>
      </c>
      <c r="AM752" t="s">
        <v>6584</v>
      </c>
      <c r="AN752" t="s">
        <v>6585</v>
      </c>
      <c r="AO752" t="s">
        <v>8807</v>
      </c>
      <c r="AP752" t="s">
        <v>74</v>
      </c>
      <c r="AQ752" t="s">
        <v>74</v>
      </c>
      <c r="AR752" t="s">
        <v>8809</v>
      </c>
      <c r="AS752" t="s">
        <v>8810</v>
      </c>
      <c r="AT752" t="s">
        <v>11504</v>
      </c>
      <c r="AU752">
        <v>2005</v>
      </c>
      <c r="AV752">
        <v>18</v>
      </c>
      <c r="AW752">
        <v>17</v>
      </c>
      <c r="AX752" t="s">
        <v>74</v>
      </c>
      <c r="AY752" t="s">
        <v>74</v>
      </c>
      <c r="AZ752" t="s">
        <v>74</v>
      </c>
      <c r="BA752" t="s">
        <v>74</v>
      </c>
      <c r="BB752">
        <v>3606</v>
      </c>
      <c r="BC752">
        <v>3622</v>
      </c>
      <c r="BD752" t="s">
        <v>74</v>
      </c>
      <c r="BE752" t="s">
        <v>11505</v>
      </c>
      <c r="BF752" t="str">
        <f>HYPERLINK("http://dx.doi.org/10.1175/JCLI3489.1","http://dx.doi.org/10.1175/JCLI3489.1")</f>
        <v>http://dx.doi.org/10.1175/JCLI3489.1</v>
      </c>
      <c r="BG752" t="s">
        <v>74</v>
      </c>
      <c r="BH752" t="s">
        <v>74</v>
      </c>
      <c r="BI752">
        <v>17</v>
      </c>
      <c r="BJ752" t="s">
        <v>2033</v>
      </c>
      <c r="BK752" t="s">
        <v>98</v>
      </c>
      <c r="BL752" t="s">
        <v>2033</v>
      </c>
      <c r="BM752" t="s">
        <v>11506</v>
      </c>
      <c r="BN752" t="s">
        <v>74</v>
      </c>
      <c r="BO752" t="s">
        <v>2248</v>
      </c>
      <c r="BP752" t="s">
        <v>74</v>
      </c>
      <c r="BQ752" t="s">
        <v>74</v>
      </c>
      <c r="BR752" t="s">
        <v>101</v>
      </c>
      <c r="BS752" t="s">
        <v>11507</v>
      </c>
      <c r="BT752" t="str">
        <f>HYPERLINK("https%3A%2F%2Fwww.webofscience.com%2Fwos%2Fwoscc%2Ffull-record%2FWOS:000232470600012","View Full Record in Web of Science")</f>
        <v>View Full Record in Web of Science</v>
      </c>
    </row>
    <row r="753" spans="1:72" x14ac:dyDescent="0.15">
      <c r="A753" t="s">
        <v>72</v>
      </c>
      <c r="B753" t="s">
        <v>11508</v>
      </c>
      <c r="C753" t="s">
        <v>74</v>
      </c>
      <c r="D753" t="s">
        <v>74</v>
      </c>
      <c r="E753" t="s">
        <v>74</v>
      </c>
      <c r="F753" t="s">
        <v>11508</v>
      </c>
      <c r="G753" t="s">
        <v>74</v>
      </c>
      <c r="H753" t="s">
        <v>74</v>
      </c>
      <c r="I753" t="s">
        <v>11509</v>
      </c>
      <c r="J753" t="s">
        <v>11510</v>
      </c>
      <c r="K753" t="s">
        <v>74</v>
      </c>
      <c r="L753" t="s">
        <v>74</v>
      </c>
      <c r="M753" t="s">
        <v>77</v>
      </c>
      <c r="N753" t="s">
        <v>78</v>
      </c>
      <c r="O753" t="s">
        <v>74</v>
      </c>
      <c r="P753" t="s">
        <v>74</v>
      </c>
      <c r="Q753" t="s">
        <v>74</v>
      </c>
      <c r="R753" t="s">
        <v>74</v>
      </c>
      <c r="S753" t="s">
        <v>74</v>
      </c>
      <c r="T753" t="s">
        <v>11511</v>
      </c>
      <c r="U753" t="s">
        <v>11512</v>
      </c>
      <c r="V753" t="s">
        <v>11513</v>
      </c>
      <c r="W753" t="s">
        <v>11514</v>
      </c>
      <c r="X753" t="s">
        <v>11515</v>
      </c>
      <c r="Y753" t="s">
        <v>11516</v>
      </c>
      <c r="Z753" t="s">
        <v>11517</v>
      </c>
      <c r="AA753" t="s">
        <v>74</v>
      </c>
      <c r="AB753" t="s">
        <v>11518</v>
      </c>
      <c r="AC753" t="s">
        <v>74</v>
      </c>
      <c r="AD753" t="s">
        <v>74</v>
      </c>
      <c r="AE753" t="s">
        <v>74</v>
      </c>
      <c r="AF753" t="s">
        <v>74</v>
      </c>
      <c r="AG753">
        <v>49</v>
      </c>
      <c r="AH753">
        <v>32</v>
      </c>
      <c r="AI753">
        <v>42</v>
      </c>
      <c r="AJ753">
        <v>1</v>
      </c>
      <c r="AK753">
        <v>22</v>
      </c>
      <c r="AL753" t="s">
        <v>11519</v>
      </c>
      <c r="AM753" t="s">
        <v>2111</v>
      </c>
      <c r="AN753" t="s">
        <v>11520</v>
      </c>
      <c r="AO753" t="s">
        <v>11521</v>
      </c>
      <c r="AP753" t="s">
        <v>11522</v>
      </c>
      <c r="AQ753" t="s">
        <v>74</v>
      </c>
      <c r="AR753" t="s">
        <v>11523</v>
      </c>
      <c r="AS753" t="s">
        <v>11524</v>
      </c>
      <c r="AT753" t="s">
        <v>10970</v>
      </c>
      <c r="AU753">
        <v>2005</v>
      </c>
      <c r="AV753">
        <v>208</v>
      </c>
      <c r="AW753">
        <v>18</v>
      </c>
      <c r="AX753" t="s">
        <v>74</v>
      </c>
      <c r="AY753" t="s">
        <v>74</v>
      </c>
      <c r="AZ753" t="s">
        <v>74</v>
      </c>
      <c r="BA753" t="s">
        <v>74</v>
      </c>
      <c r="BB753">
        <v>3441</v>
      </c>
      <c r="BC753">
        <v>3450</v>
      </c>
      <c r="BD753" t="s">
        <v>74</v>
      </c>
      <c r="BE753" t="s">
        <v>11525</v>
      </c>
      <c r="BF753" t="str">
        <f>HYPERLINK("http://dx.doi.org/10.1242/jeb.01766","http://dx.doi.org/10.1242/jeb.01766")</f>
        <v>http://dx.doi.org/10.1242/jeb.01766</v>
      </c>
      <c r="BG753" t="s">
        <v>74</v>
      </c>
      <c r="BH753" t="s">
        <v>74</v>
      </c>
      <c r="BI753">
        <v>10</v>
      </c>
      <c r="BJ753" t="s">
        <v>5207</v>
      </c>
      <c r="BK753" t="s">
        <v>98</v>
      </c>
      <c r="BL753" t="s">
        <v>5208</v>
      </c>
      <c r="BM753" t="s">
        <v>11526</v>
      </c>
      <c r="BN753">
        <v>16155217</v>
      </c>
      <c r="BO753" t="s">
        <v>1900</v>
      </c>
      <c r="BP753" t="s">
        <v>74</v>
      </c>
      <c r="BQ753" t="s">
        <v>74</v>
      </c>
      <c r="BR753" t="s">
        <v>101</v>
      </c>
      <c r="BS753" t="s">
        <v>11527</v>
      </c>
      <c r="BT753" t="str">
        <f>HYPERLINK("https%3A%2F%2Fwww.webofscience.com%2Fwos%2Fwoscc%2Ffull-record%2FWOS:000232546800007","View Full Record in Web of Science")</f>
        <v>View Full Record in Web of Science</v>
      </c>
    </row>
    <row r="754" spans="1:72" x14ac:dyDescent="0.15">
      <c r="A754" t="s">
        <v>72</v>
      </c>
      <c r="B754" t="s">
        <v>11528</v>
      </c>
      <c r="C754" t="s">
        <v>74</v>
      </c>
      <c r="D754" t="s">
        <v>74</v>
      </c>
      <c r="E754" t="s">
        <v>74</v>
      </c>
      <c r="F754" t="s">
        <v>11528</v>
      </c>
      <c r="G754" t="s">
        <v>74</v>
      </c>
      <c r="H754" t="s">
        <v>74</v>
      </c>
      <c r="I754" t="s">
        <v>11529</v>
      </c>
      <c r="J754" t="s">
        <v>6332</v>
      </c>
      <c r="K754" t="s">
        <v>74</v>
      </c>
      <c r="L754" t="s">
        <v>74</v>
      </c>
      <c r="M754" t="s">
        <v>77</v>
      </c>
      <c r="N754" t="s">
        <v>78</v>
      </c>
      <c r="O754" t="s">
        <v>74</v>
      </c>
      <c r="P754" t="s">
        <v>74</v>
      </c>
      <c r="Q754" t="s">
        <v>74</v>
      </c>
      <c r="R754" t="s">
        <v>74</v>
      </c>
      <c r="S754" t="s">
        <v>74</v>
      </c>
      <c r="T754" t="s">
        <v>11530</v>
      </c>
      <c r="U754" t="s">
        <v>11531</v>
      </c>
      <c r="V754" t="s">
        <v>11532</v>
      </c>
      <c r="W754" t="s">
        <v>11533</v>
      </c>
      <c r="X754" t="s">
        <v>403</v>
      </c>
      <c r="Y754" t="s">
        <v>11534</v>
      </c>
      <c r="Z754" t="s">
        <v>11535</v>
      </c>
      <c r="AA754" t="s">
        <v>74</v>
      </c>
      <c r="AB754" t="s">
        <v>74</v>
      </c>
      <c r="AC754" t="s">
        <v>74</v>
      </c>
      <c r="AD754" t="s">
        <v>74</v>
      </c>
      <c r="AE754" t="s">
        <v>74</v>
      </c>
      <c r="AF754" t="s">
        <v>74</v>
      </c>
      <c r="AG754">
        <v>71</v>
      </c>
      <c r="AH754">
        <v>45</v>
      </c>
      <c r="AI754">
        <v>51</v>
      </c>
      <c r="AJ754">
        <v>1</v>
      </c>
      <c r="AK754">
        <v>22</v>
      </c>
      <c r="AL754" t="s">
        <v>2025</v>
      </c>
      <c r="AM754" t="s">
        <v>2026</v>
      </c>
      <c r="AN754" t="s">
        <v>2027</v>
      </c>
      <c r="AO754" t="s">
        <v>6338</v>
      </c>
      <c r="AP754" t="s">
        <v>11536</v>
      </c>
      <c r="AQ754" t="s">
        <v>74</v>
      </c>
      <c r="AR754" t="s">
        <v>6339</v>
      </c>
      <c r="AS754" t="s">
        <v>6340</v>
      </c>
      <c r="AT754" t="s">
        <v>10970</v>
      </c>
      <c r="AU754">
        <v>2005</v>
      </c>
      <c r="AV754">
        <v>67</v>
      </c>
      <c r="AW754">
        <v>3</v>
      </c>
      <c r="AX754" t="s">
        <v>74</v>
      </c>
      <c r="AY754" t="s">
        <v>74</v>
      </c>
      <c r="AZ754" t="s">
        <v>74</v>
      </c>
      <c r="BA754" t="s">
        <v>74</v>
      </c>
      <c r="BB754">
        <v>752</v>
      </c>
      <c r="BC754">
        <v>766</v>
      </c>
      <c r="BD754" t="s">
        <v>74</v>
      </c>
      <c r="BE754" t="s">
        <v>11537</v>
      </c>
      <c r="BF754" t="str">
        <f>HYPERLINK("http://dx.doi.org/10.1111/j.0022-1112.2005.00775.x","http://dx.doi.org/10.1111/j.0022-1112.2005.00775.x")</f>
        <v>http://dx.doi.org/10.1111/j.0022-1112.2005.00775.x</v>
      </c>
      <c r="BG754" t="s">
        <v>74</v>
      </c>
      <c r="BH754" t="s">
        <v>74</v>
      </c>
      <c r="BI754">
        <v>15</v>
      </c>
      <c r="BJ754" t="s">
        <v>5977</v>
      </c>
      <c r="BK754" t="s">
        <v>98</v>
      </c>
      <c r="BL754" t="s">
        <v>5977</v>
      </c>
      <c r="BM754" t="s">
        <v>11538</v>
      </c>
      <c r="BN754" t="s">
        <v>74</v>
      </c>
      <c r="BO754" t="s">
        <v>74</v>
      </c>
      <c r="BP754" t="s">
        <v>74</v>
      </c>
      <c r="BQ754" t="s">
        <v>74</v>
      </c>
      <c r="BR754" t="s">
        <v>101</v>
      </c>
      <c r="BS754" t="s">
        <v>11539</v>
      </c>
      <c r="BT754" t="str">
        <f>HYPERLINK("https%3A%2F%2Fwww.webofscience.com%2Fwos%2Fwoscc%2Ffull-record%2FWOS:000231913100012","View Full Record in Web of Science")</f>
        <v>View Full Record in Web of Science</v>
      </c>
    </row>
    <row r="755" spans="1:72" x14ac:dyDescent="0.15">
      <c r="A755" t="s">
        <v>72</v>
      </c>
      <c r="B755" t="s">
        <v>11540</v>
      </c>
      <c r="C755" t="s">
        <v>74</v>
      </c>
      <c r="D755" t="s">
        <v>74</v>
      </c>
      <c r="E755" t="s">
        <v>74</v>
      </c>
      <c r="F755" t="s">
        <v>11540</v>
      </c>
      <c r="G755" t="s">
        <v>74</v>
      </c>
      <c r="H755" t="s">
        <v>74</v>
      </c>
      <c r="I755" t="s">
        <v>11541</v>
      </c>
      <c r="J755" t="s">
        <v>7721</v>
      </c>
      <c r="K755" t="s">
        <v>74</v>
      </c>
      <c r="L755" t="s">
        <v>74</v>
      </c>
      <c r="M755" t="s">
        <v>77</v>
      </c>
      <c r="N755" t="s">
        <v>78</v>
      </c>
      <c r="O755" t="s">
        <v>74</v>
      </c>
      <c r="P755" t="s">
        <v>74</v>
      </c>
      <c r="Q755" t="s">
        <v>74</v>
      </c>
      <c r="R755" t="s">
        <v>74</v>
      </c>
      <c r="S755" t="s">
        <v>74</v>
      </c>
      <c r="T755" t="s">
        <v>74</v>
      </c>
      <c r="U755" t="s">
        <v>11542</v>
      </c>
      <c r="V755" t="s">
        <v>11543</v>
      </c>
      <c r="W755" t="s">
        <v>11544</v>
      </c>
      <c r="X755" t="s">
        <v>11545</v>
      </c>
      <c r="Y755" t="s">
        <v>11546</v>
      </c>
      <c r="Z755" t="s">
        <v>11547</v>
      </c>
      <c r="AA755" t="s">
        <v>11548</v>
      </c>
      <c r="AB755" t="s">
        <v>11549</v>
      </c>
      <c r="AC755" t="s">
        <v>74</v>
      </c>
      <c r="AD755" t="s">
        <v>74</v>
      </c>
      <c r="AE755" t="s">
        <v>74</v>
      </c>
      <c r="AF755" t="s">
        <v>74</v>
      </c>
      <c r="AG755">
        <v>25</v>
      </c>
      <c r="AH755">
        <v>291</v>
      </c>
      <c r="AI755">
        <v>313</v>
      </c>
      <c r="AJ755">
        <v>0</v>
      </c>
      <c r="AK755">
        <v>7</v>
      </c>
      <c r="AL755" t="s">
        <v>4487</v>
      </c>
      <c r="AM755" t="s">
        <v>2541</v>
      </c>
      <c r="AN755" t="s">
        <v>4488</v>
      </c>
      <c r="AO755" t="s">
        <v>7728</v>
      </c>
      <c r="AP755" t="s">
        <v>7729</v>
      </c>
      <c r="AQ755" t="s">
        <v>74</v>
      </c>
      <c r="AR755" t="s">
        <v>7730</v>
      </c>
      <c r="AS755" t="s">
        <v>7731</v>
      </c>
      <c r="AT755" t="s">
        <v>11504</v>
      </c>
      <c r="AU755">
        <v>2005</v>
      </c>
      <c r="AV755">
        <v>110</v>
      </c>
      <c r="AW755" t="s">
        <v>10528</v>
      </c>
      <c r="AX755" t="s">
        <v>74</v>
      </c>
      <c r="AY755" t="s">
        <v>74</v>
      </c>
      <c r="AZ755" t="s">
        <v>74</v>
      </c>
      <c r="BA755" t="s">
        <v>74</v>
      </c>
      <c r="BB755" t="s">
        <v>74</v>
      </c>
      <c r="BC755" t="s">
        <v>74</v>
      </c>
      <c r="BD755" t="s">
        <v>11550</v>
      </c>
      <c r="BE755" t="s">
        <v>11551</v>
      </c>
      <c r="BF755" t="str">
        <f>HYPERLINK("http://dx.doi.org/10.1029/2004JA010882","http://dx.doi.org/10.1029/2004JA010882")</f>
        <v>http://dx.doi.org/10.1029/2004JA010882</v>
      </c>
      <c r="BG755" t="s">
        <v>74</v>
      </c>
      <c r="BH755" t="s">
        <v>74</v>
      </c>
      <c r="BI755">
        <v>7</v>
      </c>
      <c r="BJ755" t="s">
        <v>4376</v>
      </c>
      <c r="BK755" t="s">
        <v>98</v>
      </c>
      <c r="BL755" t="s">
        <v>4376</v>
      </c>
      <c r="BM755" t="s">
        <v>11552</v>
      </c>
      <c r="BN755" t="s">
        <v>74</v>
      </c>
      <c r="BO755" t="s">
        <v>2728</v>
      </c>
      <c r="BP755" t="s">
        <v>74</v>
      </c>
      <c r="BQ755" t="s">
        <v>74</v>
      </c>
      <c r="BR755" t="s">
        <v>101</v>
      </c>
      <c r="BS755" t="s">
        <v>11553</v>
      </c>
      <c r="BT755" t="str">
        <f>HYPERLINK("https%3A%2F%2Fwww.webofscience.com%2Fwos%2Fwoscc%2Ffull-record%2FWOS:000231729300002","View Full Record in Web of Science")</f>
        <v>View Full Record in Web of Science</v>
      </c>
    </row>
    <row r="756" spans="1:72" x14ac:dyDescent="0.15">
      <c r="A756" t="s">
        <v>72</v>
      </c>
      <c r="B756" t="s">
        <v>11554</v>
      </c>
      <c r="C756" t="s">
        <v>74</v>
      </c>
      <c r="D756" t="s">
        <v>74</v>
      </c>
      <c r="E756" t="s">
        <v>74</v>
      </c>
      <c r="F756" t="s">
        <v>11554</v>
      </c>
      <c r="G756" t="s">
        <v>74</v>
      </c>
      <c r="H756" t="s">
        <v>74</v>
      </c>
      <c r="I756" t="s">
        <v>11555</v>
      </c>
      <c r="J756" t="s">
        <v>11556</v>
      </c>
      <c r="K756" t="s">
        <v>74</v>
      </c>
      <c r="L756" t="s">
        <v>74</v>
      </c>
      <c r="M756" t="s">
        <v>77</v>
      </c>
      <c r="N756" t="s">
        <v>78</v>
      </c>
      <c r="O756" t="s">
        <v>74</v>
      </c>
      <c r="P756" t="s">
        <v>74</v>
      </c>
      <c r="Q756" t="s">
        <v>74</v>
      </c>
      <c r="R756" t="s">
        <v>74</v>
      </c>
      <c r="S756" t="s">
        <v>74</v>
      </c>
      <c r="T756" t="s">
        <v>11557</v>
      </c>
      <c r="U756" t="s">
        <v>11558</v>
      </c>
      <c r="V756" t="s">
        <v>11559</v>
      </c>
      <c r="W756" t="s">
        <v>801</v>
      </c>
      <c r="X756" t="s">
        <v>788</v>
      </c>
      <c r="Y756" t="s">
        <v>11560</v>
      </c>
      <c r="Z756" t="s">
        <v>11561</v>
      </c>
      <c r="AA756" t="s">
        <v>74</v>
      </c>
      <c r="AB756" t="s">
        <v>11562</v>
      </c>
      <c r="AC756" t="s">
        <v>74</v>
      </c>
      <c r="AD756" t="s">
        <v>74</v>
      </c>
      <c r="AE756" t="s">
        <v>74</v>
      </c>
      <c r="AF756" t="s">
        <v>74</v>
      </c>
      <c r="AG756">
        <v>57</v>
      </c>
      <c r="AH756">
        <v>49</v>
      </c>
      <c r="AI756">
        <v>51</v>
      </c>
      <c r="AJ756">
        <v>0</v>
      </c>
      <c r="AK756">
        <v>20</v>
      </c>
      <c r="AL756" t="s">
        <v>1147</v>
      </c>
      <c r="AM756" t="s">
        <v>1148</v>
      </c>
      <c r="AN756" t="s">
        <v>1149</v>
      </c>
      <c r="AO756" t="s">
        <v>11563</v>
      </c>
      <c r="AP756" t="s">
        <v>11564</v>
      </c>
      <c r="AQ756" t="s">
        <v>74</v>
      </c>
      <c r="AR756" t="s">
        <v>11565</v>
      </c>
      <c r="AS756" t="s">
        <v>11566</v>
      </c>
      <c r="AT756" t="s">
        <v>10970</v>
      </c>
      <c r="AU756">
        <v>2005</v>
      </c>
      <c r="AV756">
        <v>57</v>
      </c>
      <c r="AW756" t="s">
        <v>530</v>
      </c>
      <c r="AX756" t="s">
        <v>74</v>
      </c>
      <c r="AY756" t="s">
        <v>74</v>
      </c>
      <c r="AZ756" t="s">
        <v>74</v>
      </c>
      <c r="BA756" t="s">
        <v>74</v>
      </c>
      <c r="BB756">
        <v>231</v>
      </c>
      <c r="BC756">
        <v>249</v>
      </c>
      <c r="BD756" t="s">
        <v>74</v>
      </c>
      <c r="BE756" t="s">
        <v>11567</v>
      </c>
      <c r="BF756" t="str">
        <f>HYPERLINK("http://dx.doi.org/10.1016/j.jmarsys.2005.04.009","http://dx.doi.org/10.1016/j.jmarsys.2005.04.009")</f>
        <v>http://dx.doi.org/10.1016/j.jmarsys.2005.04.009</v>
      </c>
      <c r="BG756" t="s">
        <v>74</v>
      </c>
      <c r="BH756" t="s">
        <v>74</v>
      </c>
      <c r="BI756">
        <v>19</v>
      </c>
      <c r="BJ756" t="s">
        <v>11568</v>
      </c>
      <c r="BK756" t="s">
        <v>98</v>
      </c>
      <c r="BL756" t="s">
        <v>11569</v>
      </c>
      <c r="BM756" t="s">
        <v>11570</v>
      </c>
      <c r="BN756" t="s">
        <v>74</v>
      </c>
      <c r="BO756" t="s">
        <v>74</v>
      </c>
      <c r="BP756" t="s">
        <v>74</v>
      </c>
      <c r="BQ756" t="s">
        <v>74</v>
      </c>
      <c r="BR756" t="s">
        <v>101</v>
      </c>
      <c r="BS756" t="s">
        <v>11571</v>
      </c>
      <c r="BT756" t="str">
        <f>HYPERLINK("https%3A%2F%2Fwww.webofscience.com%2Fwos%2Fwoscc%2Ffull-record%2FWOS:000232788200003","View Full Record in Web of Science")</f>
        <v>View Full Record in Web of Science</v>
      </c>
    </row>
    <row r="757" spans="1:72" x14ac:dyDescent="0.15">
      <c r="A757" t="s">
        <v>72</v>
      </c>
      <c r="B757" t="s">
        <v>11572</v>
      </c>
      <c r="C757" t="s">
        <v>74</v>
      </c>
      <c r="D757" t="s">
        <v>74</v>
      </c>
      <c r="E757" t="s">
        <v>74</v>
      </c>
      <c r="F757" t="s">
        <v>11572</v>
      </c>
      <c r="G757" t="s">
        <v>74</v>
      </c>
      <c r="H757" t="s">
        <v>74</v>
      </c>
      <c r="I757" t="s">
        <v>11573</v>
      </c>
      <c r="J757" t="s">
        <v>11574</v>
      </c>
      <c r="K757" t="s">
        <v>74</v>
      </c>
      <c r="L757" t="s">
        <v>74</v>
      </c>
      <c r="M757" t="s">
        <v>77</v>
      </c>
      <c r="N757" t="s">
        <v>335</v>
      </c>
      <c r="O757" t="s">
        <v>11575</v>
      </c>
      <c r="P757" t="s">
        <v>11576</v>
      </c>
      <c r="Q757" t="s">
        <v>11577</v>
      </c>
      <c r="R757" t="s">
        <v>74</v>
      </c>
      <c r="S757" t="s">
        <v>11578</v>
      </c>
      <c r="T757" t="s">
        <v>11579</v>
      </c>
      <c r="U757" t="s">
        <v>11580</v>
      </c>
      <c r="V757" t="s">
        <v>11581</v>
      </c>
      <c r="W757" t="s">
        <v>11582</v>
      </c>
      <c r="X757" t="s">
        <v>74</v>
      </c>
      <c r="Y757" t="s">
        <v>11583</v>
      </c>
      <c r="Z757" t="s">
        <v>11584</v>
      </c>
      <c r="AA757" t="s">
        <v>11585</v>
      </c>
      <c r="AB757" t="s">
        <v>11586</v>
      </c>
      <c r="AC757" t="s">
        <v>74</v>
      </c>
      <c r="AD757" t="s">
        <v>74</v>
      </c>
      <c r="AE757" t="s">
        <v>74</v>
      </c>
      <c r="AF757" t="s">
        <v>74</v>
      </c>
      <c r="AG757">
        <v>49</v>
      </c>
      <c r="AH757">
        <v>21</v>
      </c>
      <c r="AI757">
        <v>25</v>
      </c>
      <c r="AJ757">
        <v>5</v>
      </c>
      <c r="AK757">
        <v>51</v>
      </c>
      <c r="AL757" t="s">
        <v>2239</v>
      </c>
      <c r="AM757" t="s">
        <v>89</v>
      </c>
      <c r="AN757" t="s">
        <v>4047</v>
      </c>
      <c r="AO757" t="s">
        <v>11587</v>
      </c>
      <c r="AP757" t="s">
        <v>11588</v>
      </c>
      <c r="AQ757" t="s">
        <v>74</v>
      </c>
      <c r="AR757" t="s">
        <v>11589</v>
      </c>
      <c r="AS757" t="s">
        <v>11590</v>
      </c>
      <c r="AT757" t="s">
        <v>10970</v>
      </c>
      <c r="AU757">
        <v>2005</v>
      </c>
      <c r="AV757">
        <v>58</v>
      </c>
      <c r="AW757">
        <v>3</v>
      </c>
      <c r="AX757" t="s">
        <v>74</v>
      </c>
      <c r="AY757" t="s">
        <v>74</v>
      </c>
      <c r="AZ757" t="s">
        <v>74</v>
      </c>
      <c r="BA757" t="s">
        <v>74</v>
      </c>
      <c r="BB757">
        <v>365</v>
      </c>
      <c r="BC757">
        <v>373</v>
      </c>
      <c r="BD757" t="s">
        <v>74</v>
      </c>
      <c r="BE757" t="s">
        <v>11591</v>
      </c>
      <c r="BF757" t="str">
        <f>HYPERLINK("http://dx.doi.org/10.1017/S0373463305003401","http://dx.doi.org/10.1017/S0373463305003401")</f>
        <v>http://dx.doi.org/10.1017/S0373463305003401</v>
      </c>
      <c r="BG757" t="s">
        <v>74</v>
      </c>
      <c r="BH757" t="s">
        <v>74</v>
      </c>
      <c r="BI757">
        <v>9</v>
      </c>
      <c r="BJ757" t="s">
        <v>11592</v>
      </c>
      <c r="BK757" t="s">
        <v>1411</v>
      </c>
      <c r="BL757" t="s">
        <v>1946</v>
      </c>
      <c r="BM757" t="s">
        <v>11593</v>
      </c>
      <c r="BN757" t="s">
        <v>74</v>
      </c>
      <c r="BO757" t="s">
        <v>534</v>
      </c>
      <c r="BP757" t="s">
        <v>74</v>
      </c>
      <c r="BQ757" t="s">
        <v>74</v>
      </c>
      <c r="BR757" t="s">
        <v>101</v>
      </c>
      <c r="BS757" t="s">
        <v>11594</v>
      </c>
      <c r="BT757" t="str">
        <f>HYPERLINK("https%3A%2F%2Fwww.webofscience.com%2Fwos%2Fwoscc%2Ffull-record%2FWOS:000232357500003","View Full Record in Web of Science")</f>
        <v>View Full Record in Web of Science</v>
      </c>
    </row>
    <row r="758" spans="1:72" x14ac:dyDescent="0.15">
      <c r="A758" t="s">
        <v>72</v>
      </c>
      <c r="B758" t="s">
        <v>11595</v>
      </c>
      <c r="C758" t="s">
        <v>74</v>
      </c>
      <c r="D758" t="s">
        <v>74</v>
      </c>
      <c r="E758" t="s">
        <v>74</v>
      </c>
      <c r="F758" t="s">
        <v>11595</v>
      </c>
      <c r="G758" t="s">
        <v>74</v>
      </c>
      <c r="H758" t="s">
        <v>74</v>
      </c>
      <c r="I758" t="s">
        <v>11596</v>
      </c>
      <c r="J758" t="s">
        <v>11597</v>
      </c>
      <c r="K758" t="s">
        <v>74</v>
      </c>
      <c r="L758" t="s">
        <v>74</v>
      </c>
      <c r="M758" t="s">
        <v>77</v>
      </c>
      <c r="N758" t="s">
        <v>78</v>
      </c>
      <c r="O758" t="s">
        <v>74</v>
      </c>
      <c r="P758" t="s">
        <v>74</v>
      </c>
      <c r="Q758" t="s">
        <v>74</v>
      </c>
      <c r="R758" t="s">
        <v>74</v>
      </c>
      <c r="S758" t="s">
        <v>74</v>
      </c>
      <c r="T758" t="s">
        <v>74</v>
      </c>
      <c r="U758" t="s">
        <v>11598</v>
      </c>
      <c r="V758" t="s">
        <v>11599</v>
      </c>
      <c r="W758" t="s">
        <v>11600</v>
      </c>
      <c r="X758" t="s">
        <v>11601</v>
      </c>
      <c r="Y758" t="s">
        <v>11602</v>
      </c>
      <c r="Z758" t="s">
        <v>11603</v>
      </c>
      <c r="AA758" t="s">
        <v>74</v>
      </c>
      <c r="AB758" t="s">
        <v>11604</v>
      </c>
      <c r="AC758" t="s">
        <v>74</v>
      </c>
      <c r="AD758" t="s">
        <v>74</v>
      </c>
      <c r="AE758" t="s">
        <v>74</v>
      </c>
      <c r="AF758" t="s">
        <v>74</v>
      </c>
      <c r="AG758">
        <v>17</v>
      </c>
      <c r="AH758">
        <v>5</v>
      </c>
      <c r="AI758">
        <v>7</v>
      </c>
      <c r="AJ758">
        <v>0</v>
      </c>
      <c r="AK758">
        <v>7</v>
      </c>
      <c r="AL758" t="s">
        <v>6583</v>
      </c>
      <c r="AM758" t="s">
        <v>6584</v>
      </c>
      <c r="AN758" t="s">
        <v>6612</v>
      </c>
      <c r="AO758" t="s">
        <v>11605</v>
      </c>
      <c r="AP758" t="s">
        <v>11606</v>
      </c>
      <c r="AQ758" t="s">
        <v>74</v>
      </c>
      <c r="AR758" t="s">
        <v>11607</v>
      </c>
      <c r="AS758" t="s">
        <v>11608</v>
      </c>
      <c r="AT758" t="s">
        <v>10970</v>
      </c>
      <c r="AU758">
        <v>2005</v>
      </c>
      <c r="AV758">
        <v>62</v>
      </c>
      <c r="AW758">
        <v>9</v>
      </c>
      <c r="AX758" t="s">
        <v>74</v>
      </c>
      <c r="AY758" t="s">
        <v>74</v>
      </c>
      <c r="AZ758" t="s">
        <v>74</v>
      </c>
      <c r="BA758" t="s">
        <v>74</v>
      </c>
      <c r="BB758">
        <v>3172</v>
      </c>
      <c r="BC758">
        <v>3192</v>
      </c>
      <c r="BD758" t="s">
        <v>74</v>
      </c>
      <c r="BE758" t="s">
        <v>11609</v>
      </c>
      <c r="BF758" t="str">
        <f>HYPERLINK("http://dx.doi.org/10.1175/JAS3546.1","http://dx.doi.org/10.1175/JAS3546.1")</f>
        <v>http://dx.doi.org/10.1175/JAS3546.1</v>
      </c>
      <c r="BG758" t="s">
        <v>74</v>
      </c>
      <c r="BH758" t="s">
        <v>74</v>
      </c>
      <c r="BI758">
        <v>21</v>
      </c>
      <c r="BJ758" t="s">
        <v>2033</v>
      </c>
      <c r="BK758" t="s">
        <v>98</v>
      </c>
      <c r="BL758" t="s">
        <v>2033</v>
      </c>
      <c r="BM758" t="s">
        <v>11610</v>
      </c>
      <c r="BN758" t="s">
        <v>74</v>
      </c>
      <c r="BO758" t="s">
        <v>1132</v>
      </c>
      <c r="BP758" t="s">
        <v>74</v>
      </c>
      <c r="BQ758" t="s">
        <v>74</v>
      </c>
      <c r="BR758" t="s">
        <v>101</v>
      </c>
      <c r="BS758" t="s">
        <v>11611</v>
      </c>
      <c r="BT758" t="str">
        <f>HYPERLINK("https%3A%2F%2Fwww.webofscience.com%2Fwos%2Fwoscc%2Ffull-record%2FWOS:000232275300010","View Full Record in Web of Science")</f>
        <v>View Full Record in Web of Science</v>
      </c>
    </row>
    <row r="759" spans="1:72" x14ac:dyDescent="0.15">
      <c r="A759" t="s">
        <v>72</v>
      </c>
      <c r="B759" t="s">
        <v>11612</v>
      </c>
      <c r="C759" t="s">
        <v>74</v>
      </c>
      <c r="D759" t="s">
        <v>74</v>
      </c>
      <c r="E759" t="s">
        <v>74</v>
      </c>
      <c r="F759" t="s">
        <v>11612</v>
      </c>
      <c r="G759" t="s">
        <v>74</v>
      </c>
      <c r="H759" t="s">
        <v>74</v>
      </c>
      <c r="I759" t="s">
        <v>11613</v>
      </c>
      <c r="J759" t="s">
        <v>2486</v>
      </c>
      <c r="K759" t="s">
        <v>74</v>
      </c>
      <c r="L759" t="s">
        <v>74</v>
      </c>
      <c r="M759" t="s">
        <v>77</v>
      </c>
      <c r="N759" t="s">
        <v>78</v>
      </c>
      <c r="O759" t="s">
        <v>74</v>
      </c>
      <c r="P759" t="s">
        <v>74</v>
      </c>
      <c r="Q759" t="s">
        <v>74</v>
      </c>
      <c r="R759" t="s">
        <v>74</v>
      </c>
      <c r="S759" t="s">
        <v>74</v>
      </c>
      <c r="T759" t="s">
        <v>11614</v>
      </c>
      <c r="U759" t="s">
        <v>11615</v>
      </c>
      <c r="V759" t="s">
        <v>11616</v>
      </c>
      <c r="W759" t="s">
        <v>11617</v>
      </c>
      <c r="X759" t="s">
        <v>11618</v>
      </c>
      <c r="Y759" t="s">
        <v>5407</v>
      </c>
      <c r="Z759" t="s">
        <v>11619</v>
      </c>
      <c r="AA759" t="s">
        <v>11620</v>
      </c>
      <c r="AB759" t="s">
        <v>11621</v>
      </c>
      <c r="AC759" t="s">
        <v>74</v>
      </c>
      <c r="AD759" t="s">
        <v>74</v>
      </c>
      <c r="AE759" t="s">
        <v>74</v>
      </c>
      <c r="AF759" t="s">
        <v>74</v>
      </c>
      <c r="AG759">
        <v>38</v>
      </c>
      <c r="AH759">
        <v>40</v>
      </c>
      <c r="AI759">
        <v>43</v>
      </c>
      <c r="AJ759">
        <v>0</v>
      </c>
      <c r="AK759">
        <v>5</v>
      </c>
      <c r="AL759" t="s">
        <v>2495</v>
      </c>
      <c r="AM759" t="s">
        <v>1844</v>
      </c>
      <c r="AN759" t="s">
        <v>2496</v>
      </c>
      <c r="AO759" t="s">
        <v>2497</v>
      </c>
      <c r="AP759" t="s">
        <v>2498</v>
      </c>
      <c r="AQ759" t="s">
        <v>74</v>
      </c>
      <c r="AR759" t="s">
        <v>2499</v>
      </c>
      <c r="AS759" t="s">
        <v>2500</v>
      </c>
      <c r="AT759" t="s">
        <v>10970</v>
      </c>
      <c r="AU759">
        <v>2005</v>
      </c>
      <c r="AV759">
        <v>162</v>
      </c>
      <c r="AW759" t="s">
        <v>74</v>
      </c>
      <c r="AX759">
        <v>5</v>
      </c>
      <c r="AY759" t="s">
        <v>74</v>
      </c>
      <c r="AZ759" t="s">
        <v>74</v>
      </c>
      <c r="BA759" t="s">
        <v>74</v>
      </c>
      <c r="BB759">
        <v>745</v>
      </c>
      <c r="BC759">
        <v>748</v>
      </c>
      <c r="BD759" t="s">
        <v>74</v>
      </c>
      <c r="BE759" t="s">
        <v>11622</v>
      </c>
      <c r="BF759" t="str">
        <f>HYPERLINK("http://dx.doi.org/10.1144/0016-764905-051","http://dx.doi.org/10.1144/0016-764905-051")</f>
        <v>http://dx.doi.org/10.1144/0016-764905-051</v>
      </c>
      <c r="BG759" t="s">
        <v>74</v>
      </c>
      <c r="BH759" t="s">
        <v>74</v>
      </c>
      <c r="BI759">
        <v>4</v>
      </c>
      <c r="BJ759" t="s">
        <v>1129</v>
      </c>
      <c r="BK759" t="s">
        <v>98</v>
      </c>
      <c r="BL759" t="s">
        <v>1130</v>
      </c>
      <c r="BM759" t="s">
        <v>11623</v>
      </c>
      <c r="BN759" t="s">
        <v>74</v>
      </c>
      <c r="BO759" t="s">
        <v>74</v>
      </c>
      <c r="BP759" t="s">
        <v>74</v>
      </c>
      <c r="BQ759" t="s">
        <v>74</v>
      </c>
      <c r="BR759" t="s">
        <v>101</v>
      </c>
      <c r="BS759" t="s">
        <v>11624</v>
      </c>
      <c r="BT759" t="str">
        <f>HYPERLINK("https%3A%2F%2Fwww.webofscience.com%2Fwos%2Fwoscc%2Ffull-record%2FWOS:000231814000003","View Full Record in Web of Science")</f>
        <v>View Full Record in Web of Science</v>
      </c>
    </row>
    <row r="760" spans="1:72" x14ac:dyDescent="0.15">
      <c r="A760" t="s">
        <v>72</v>
      </c>
      <c r="B760" t="s">
        <v>11625</v>
      </c>
      <c r="C760" t="s">
        <v>74</v>
      </c>
      <c r="D760" t="s">
        <v>74</v>
      </c>
      <c r="E760" t="s">
        <v>74</v>
      </c>
      <c r="F760" t="s">
        <v>11625</v>
      </c>
      <c r="G760" t="s">
        <v>74</v>
      </c>
      <c r="H760" t="s">
        <v>74</v>
      </c>
      <c r="I760" t="s">
        <v>11626</v>
      </c>
      <c r="J760" t="s">
        <v>2486</v>
      </c>
      <c r="K760" t="s">
        <v>74</v>
      </c>
      <c r="L760" t="s">
        <v>74</v>
      </c>
      <c r="M760" t="s">
        <v>77</v>
      </c>
      <c r="N760" t="s">
        <v>78</v>
      </c>
      <c r="O760" t="s">
        <v>74</v>
      </c>
      <c r="P760" t="s">
        <v>74</v>
      </c>
      <c r="Q760" t="s">
        <v>74</v>
      </c>
      <c r="R760" t="s">
        <v>74</v>
      </c>
      <c r="S760" t="s">
        <v>74</v>
      </c>
      <c r="T760" t="s">
        <v>11627</v>
      </c>
      <c r="U760" t="s">
        <v>11628</v>
      </c>
      <c r="V760" t="s">
        <v>11629</v>
      </c>
      <c r="W760" t="s">
        <v>11630</v>
      </c>
      <c r="X760" t="s">
        <v>11631</v>
      </c>
      <c r="Y760" t="s">
        <v>11632</v>
      </c>
      <c r="Z760" t="s">
        <v>11633</v>
      </c>
      <c r="AA760" t="s">
        <v>11634</v>
      </c>
      <c r="AB760" t="s">
        <v>74</v>
      </c>
      <c r="AC760" t="s">
        <v>74</v>
      </c>
      <c r="AD760" t="s">
        <v>74</v>
      </c>
      <c r="AE760" t="s">
        <v>74</v>
      </c>
      <c r="AF760" t="s">
        <v>74</v>
      </c>
      <c r="AG760">
        <v>86</v>
      </c>
      <c r="AH760">
        <v>64</v>
      </c>
      <c r="AI760">
        <v>68</v>
      </c>
      <c r="AJ760">
        <v>0</v>
      </c>
      <c r="AK760">
        <v>4</v>
      </c>
      <c r="AL760" t="s">
        <v>2495</v>
      </c>
      <c r="AM760" t="s">
        <v>1844</v>
      </c>
      <c r="AN760" t="s">
        <v>2496</v>
      </c>
      <c r="AO760" t="s">
        <v>2497</v>
      </c>
      <c r="AP760" t="s">
        <v>2498</v>
      </c>
      <c r="AQ760" t="s">
        <v>74</v>
      </c>
      <c r="AR760" t="s">
        <v>2499</v>
      </c>
      <c r="AS760" t="s">
        <v>2500</v>
      </c>
      <c r="AT760" t="s">
        <v>10970</v>
      </c>
      <c r="AU760">
        <v>2005</v>
      </c>
      <c r="AV760">
        <v>162</v>
      </c>
      <c r="AW760" t="s">
        <v>74</v>
      </c>
      <c r="AX760">
        <v>5</v>
      </c>
      <c r="AY760" t="s">
        <v>74</v>
      </c>
      <c r="AZ760" t="s">
        <v>74</v>
      </c>
      <c r="BA760" t="s">
        <v>74</v>
      </c>
      <c r="BB760">
        <v>749</v>
      </c>
      <c r="BC760">
        <v>761</v>
      </c>
      <c r="BD760" t="s">
        <v>74</v>
      </c>
      <c r="BE760" t="s">
        <v>11635</v>
      </c>
      <c r="BF760" t="str">
        <f>HYPERLINK("http://dx.doi.org/10.1144/0016-764904-087","http://dx.doi.org/10.1144/0016-764904-087")</f>
        <v>http://dx.doi.org/10.1144/0016-764904-087</v>
      </c>
      <c r="BG760" t="s">
        <v>74</v>
      </c>
      <c r="BH760" t="s">
        <v>74</v>
      </c>
      <c r="BI760">
        <v>13</v>
      </c>
      <c r="BJ760" t="s">
        <v>1129</v>
      </c>
      <c r="BK760" t="s">
        <v>98</v>
      </c>
      <c r="BL760" t="s">
        <v>1130</v>
      </c>
      <c r="BM760" t="s">
        <v>11623</v>
      </c>
      <c r="BN760" t="s">
        <v>74</v>
      </c>
      <c r="BO760" t="s">
        <v>74</v>
      </c>
      <c r="BP760" t="s">
        <v>74</v>
      </c>
      <c r="BQ760" t="s">
        <v>74</v>
      </c>
      <c r="BR760" t="s">
        <v>101</v>
      </c>
      <c r="BS760" t="s">
        <v>11636</v>
      </c>
      <c r="BT760" t="str">
        <f>HYPERLINK("https%3A%2F%2Fwww.webofscience.com%2Fwos%2Fwoscc%2Ffull-record%2FWOS:000231814000004","View Full Record in Web of Science")</f>
        <v>View Full Record in Web of Science</v>
      </c>
    </row>
    <row r="761" spans="1:72" x14ac:dyDescent="0.15">
      <c r="A761" t="s">
        <v>72</v>
      </c>
      <c r="B761" t="s">
        <v>11637</v>
      </c>
      <c r="C761" t="s">
        <v>74</v>
      </c>
      <c r="D761" t="s">
        <v>74</v>
      </c>
      <c r="E761" t="s">
        <v>74</v>
      </c>
      <c r="F761" t="s">
        <v>11637</v>
      </c>
      <c r="G761" t="s">
        <v>74</v>
      </c>
      <c r="H761" t="s">
        <v>74</v>
      </c>
      <c r="I761" t="s">
        <v>11638</v>
      </c>
      <c r="J761" t="s">
        <v>6505</v>
      </c>
      <c r="K761" t="s">
        <v>74</v>
      </c>
      <c r="L761" t="s">
        <v>74</v>
      </c>
      <c r="M761" t="s">
        <v>77</v>
      </c>
      <c r="N761" t="s">
        <v>78</v>
      </c>
      <c r="O761" t="s">
        <v>74</v>
      </c>
      <c r="P761" t="s">
        <v>74</v>
      </c>
      <c r="Q761" t="s">
        <v>74</v>
      </c>
      <c r="R761" t="s">
        <v>74</v>
      </c>
      <c r="S761" t="s">
        <v>74</v>
      </c>
      <c r="T761" t="s">
        <v>74</v>
      </c>
      <c r="U761" t="s">
        <v>11639</v>
      </c>
      <c r="V761" t="s">
        <v>11640</v>
      </c>
      <c r="W761" t="s">
        <v>11641</v>
      </c>
      <c r="X761" t="s">
        <v>11642</v>
      </c>
      <c r="Y761" t="s">
        <v>11643</v>
      </c>
      <c r="Z761" t="s">
        <v>11644</v>
      </c>
      <c r="AA761" t="s">
        <v>11645</v>
      </c>
      <c r="AB761" t="s">
        <v>11646</v>
      </c>
      <c r="AC761" t="s">
        <v>74</v>
      </c>
      <c r="AD761" t="s">
        <v>74</v>
      </c>
      <c r="AE761" t="s">
        <v>74</v>
      </c>
      <c r="AF761" t="s">
        <v>74</v>
      </c>
      <c r="AG761">
        <v>47</v>
      </c>
      <c r="AH761">
        <v>21</v>
      </c>
      <c r="AI761">
        <v>24</v>
      </c>
      <c r="AJ761">
        <v>0</v>
      </c>
      <c r="AK761">
        <v>12</v>
      </c>
      <c r="AL761" t="s">
        <v>88</v>
      </c>
      <c r="AM761" t="s">
        <v>89</v>
      </c>
      <c r="AN761" t="s">
        <v>4001</v>
      </c>
      <c r="AO761" t="s">
        <v>6517</v>
      </c>
      <c r="AP761" t="s">
        <v>74</v>
      </c>
      <c r="AQ761" t="s">
        <v>74</v>
      </c>
      <c r="AR761" t="s">
        <v>6519</v>
      </c>
      <c r="AS761" t="s">
        <v>6520</v>
      </c>
      <c r="AT761" t="s">
        <v>10970</v>
      </c>
      <c r="AU761">
        <v>2005</v>
      </c>
      <c r="AV761">
        <v>147</v>
      </c>
      <c r="AW761">
        <v>5</v>
      </c>
      <c r="AX761" t="s">
        <v>74</v>
      </c>
      <c r="AY761" t="s">
        <v>74</v>
      </c>
      <c r="AZ761" t="s">
        <v>74</v>
      </c>
      <c r="BA761" t="s">
        <v>74</v>
      </c>
      <c r="BB761">
        <v>1075</v>
      </c>
      <c r="BC761">
        <v>1083</v>
      </c>
      <c r="BD761" t="s">
        <v>74</v>
      </c>
      <c r="BE761" t="s">
        <v>11647</v>
      </c>
      <c r="BF761" t="str">
        <f>HYPERLINK("http://dx.doi.org/10.1007/s00227-005-0007-4","http://dx.doi.org/10.1007/s00227-005-0007-4")</f>
        <v>http://dx.doi.org/10.1007/s00227-005-0007-4</v>
      </c>
      <c r="BG761" t="s">
        <v>74</v>
      </c>
      <c r="BH761" t="s">
        <v>74</v>
      </c>
      <c r="BI761">
        <v>9</v>
      </c>
      <c r="BJ761" t="s">
        <v>206</v>
      </c>
      <c r="BK761" t="s">
        <v>98</v>
      </c>
      <c r="BL761" t="s">
        <v>206</v>
      </c>
      <c r="BM761" t="s">
        <v>11648</v>
      </c>
      <c r="BN761" t="s">
        <v>74</v>
      </c>
      <c r="BO761" t="s">
        <v>74</v>
      </c>
      <c r="BP761" t="s">
        <v>74</v>
      </c>
      <c r="BQ761" t="s">
        <v>74</v>
      </c>
      <c r="BR761" t="s">
        <v>101</v>
      </c>
      <c r="BS761" t="s">
        <v>11649</v>
      </c>
      <c r="BT761" t="str">
        <f>HYPERLINK("https%3A%2F%2Fwww.webofscience.com%2Fwos%2Fwoscc%2Ffull-record%2FWOS:000232329600003","View Full Record in Web of Science")</f>
        <v>View Full Record in Web of Science</v>
      </c>
    </row>
    <row r="762" spans="1:72" x14ac:dyDescent="0.15">
      <c r="A762" t="s">
        <v>72</v>
      </c>
      <c r="B762" t="s">
        <v>11650</v>
      </c>
      <c r="C762" t="s">
        <v>74</v>
      </c>
      <c r="D762" t="s">
        <v>74</v>
      </c>
      <c r="E762" t="s">
        <v>74</v>
      </c>
      <c r="F762" t="s">
        <v>11650</v>
      </c>
      <c r="G762" t="s">
        <v>74</v>
      </c>
      <c r="H762" t="s">
        <v>74</v>
      </c>
      <c r="I762" t="s">
        <v>11651</v>
      </c>
      <c r="J762" t="s">
        <v>11652</v>
      </c>
      <c r="K762" t="s">
        <v>74</v>
      </c>
      <c r="L762" t="s">
        <v>74</v>
      </c>
      <c r="M762" t="s">
        <v>77</v>
      </c>
      <c r="N762" t="s">
        <v>78</v>
      </c>
      <c r="O762" t="s">
        <v>74</v>
      </c>
      <c r="P762" t="s">
        <v>74</v>
      </c>
      <c r="Q762" t="s">
        <v>74</v>
      </c>
      <c r="R762" t="s">
        <v>74</v>
      </c>
      <c r="S762" t="s">
        <v>74</v>
      </c>
      <c r="T762" t="s">
        <v>11653</v>
      </c>
      <c r="U762" t="s">
        <v>11654</v>
      </c>
      <c r="V762" t="s">
        <v>11655</v>
      </c>
      <c r="W762" t="s">
        <v>11656</v>
      </c>
      <c r="X762" t="s">
        <v>11657</v>
      </c>
      <c r="Y762" t="s">
        <v>11658</v>
      </c>
      <c r="Z762" t="s">
        <v>11659</v>
      </c>
      <c r="AA762" t="s">
        <v>11660</v>
      </c>
      <c r="AB762" t="s">
        <v>11661</v>
      </c>
      <c r="AC762" t="s">
        <v>74</v>
      </c>
      <c r="AD762" t="s">
        <v>74</v>
      </c>
      <c r="AE762" t="s">
        <v>74</v>
      </c>
      <c r="AF762" t="s">
        <v>74</v>
      </c>
      <c r="AG762">
        <v>41</v>
      </c>
      <c r="AH762">
        <v>36</v>
      </c>
      <c r="AI762">
        <v>49</v>
      </c>
      <c r="AJ762">
        <v>0</v>
      </c>
      <c r="AK762">
        <v>19</v>
      </c>
      <c r="AL762" t="s">
        <v>88</v>
      </c>
      <c r="AM762" t="s">
        <v>89</v>
      </c>
      <c r="AN762" t="s">
        <v>90</v>
      </c>
      <c r="AO762" t="s">
        <v>11662</v>
      </c>
      <c r="AP762" t="s">
        <v>11663</v>
      </c>
      <c r="AQ762" t="s">
        <v>74</v>
      </c>
      <c r="AR762" t="s">
        <v>11664</v>
      </c>
      <c r="AS762" t="s">
        <v>11665</v>
      </c>
      <c r="AT762" t="s">
        <v>11436</v>
      </c>
      <c r="AU762">
        <v>2005</v>
      </c>
      <c r="AV762">
        <v>7</v>
      </c>
      <c r="AW762">
        <v>5</v>
      </c>
      <c r="AX762" t="s">
        <v>74</v>
      </c>
      <c r="AY762" t="s">
        <v>74</v>
      </c>
      <c r="AZ762" t="s">
        <v>74</v>
      </c>
      <c r="BA762" t="s">
        <v>74</v>
      </c>
      <c r="BB762">
        <v>523</v>
      </c>
      <c r="BC762">
        <v>531</v>
      </c>
      <c r="BD762" t="s">
        <v>74</v>
      </c>
      <c r="BE762" t="s">
        <v>11666</v>
      </c>
      <c r="BF762" t="str">
        <f>HYPERLINK("http://dx.doi.org/10.1007/s10126-004-5098-2","http://dx.doi.org/10.1007/s10126-004-5098-2")</f>
        <v>http://dx.doi.org/10.1007/s10126-004-5098-2</v>
      </c>
      <c r="BG762" t="s">
        <v>74</v>
      </c>
      <c r="BH762" t="s">
        <v>74</v>
      </c>
      <c r="BI762">
        <v>9</v>
      </c>
      <c r="BJ762" t="s">
        <v>11667</v>
      </c>
      <c r="BK762" t="s">
        <v>98</v>
      </c>
      <c r="BL762" t="s">
        <v>11667</v>
      </c>
      <c r="BM762" t="s">
        <v>11668</v>
      </c>
      <c r="BN762">
        <v>15988629</v>
      </c>
      <c r="BO762" t="s">
        <v>74</v>
      </c>
      <c r="BP762" t="s">
        <v>74</v>
      </c>
      <c r="BQ762" t="s">
        <v>74</v>
      </c>
      <c r="BR762" t="s">
        <v>101</v>
      </c>
      <c r="BS762" t="s">
        <v>11669</v>
      </c>
      <c r="BT762" t="str">
        <f>HYPERLINK("https%3A%2F%2Fwww.webofscience.com%2Fwos%2Fwoscc%2Ffull-record%2FWOS:000232866100012","View Full Record in Web of Science")</f>
        <v>View Full Record in Web of Science</v>
      </c>
    </row>
    <row r="763" spans="1:72" x14ac:dyDescent="0.15">
      <c r="A763" t="s">
        <v>72</v>
      </c>
      <c r="B763" t="s">
        <v>11670</v>
      </c>
      <c r="C763" t="s">
        <v>74</v>
      </c>
      <c r="D763" t="s">
        <v>74</v>
      </c>
      <c r="E763" t="s">
        <v>74</v>
      </c>
      <c r="F763" t="s">
        <v>11670</v>
      </c>
      <c r="G763" t="s">
        <v>74</v>
      </c>
      <c r="H763" t="s">
        <v>74</v>
      </c>
      <c r="I763" t="s">
        <v>11671</v>
      </c>
      <c r="J763" t="s">
        <v>11672</v>
      </c>
      <c r="K763" t="s">
        <v>74</v>
      </c>
      <c r="L763" t="s">
        <v>74</v>
      </c>
      <c r="M763" t="s">
        <v>77</v>
      </c>
      <c r="N763" t="s">
        <v>78</v>
      </c>
      <c r="O763" t="s">
        <v>74</v>
      </c>
      <c r="P763" t="s">
        <v>74</v>
      </c>
      <c r="Q763" t="s">
        <v>74</v>
      </c>
      <c r="R763" t="s">
        <v>74</v>
      </c>
      <c r="S763" t="s">
        <v>74</v>
      </c>
      <c r="T763" t="s">
        <v>11673</v>
      </c>
      <c r="U763" t="s">
        <v>74</v>
      </c>
      <c r="V763" t="s">
        <v>11674</v>
      </c>
      <c r="W763" t="s">
        <v>11675</v>
      </c>
      <c r="X763" t="s">
        <v>11676</v>
      </c>
      <c r="Y763" t="s">
        <v>11677</v>
      </c>
      <c r="Z763" t="s">
        <v>11678</v>
      </c>
      <c r="AA763" t="s">
        <v>11679</v>
      </c>
      <c r="AB763" t="s">
        <v>11680</v>
      </c>
      <c r="AC763" t="s">
        <v>74</v>
      </c>
      <c r="AD763" t="s">
        <v>74</v>
      </c>
      <c r="AE763" t="s">
        <v>74</v>
      </c>
      <c r="AF763" t="s">
        <v>74</v>
      </c>
      <c r="AG763">
        <v>36</v>
      </c>
      <c r="AH763">
        <v>38</v>
      </c>
      <c r="AI763">
        <v>43</v>
      </c>
      <c r="AJ763">
        <v>0</v>
      </c>
      <c r="AK763">
        <v>12</v>
      </c>
      <c r="AL763" t="s">
        <v>139</v>
      </c>
      <c r="AM763" t="s">
        <v>140</v>
      </c>
      <c r="AN763" t="s">
        <v>141</v>
      </c>
      <c r="AO763" t="s">
        <v>11681</v>
      </c>
      <c r="AP763" t="s">
        <v>74</v>
      </c>
      <c r="AQ763" t="s">
        <v>74</v>
      </c>
      <c r="AR763" t="s">
        <v>11682</v>
      </c>
      <c r="AS763" t="s">
        <v>11683</v>
      </c>
      <c r="AT763" t="s">
        <v>10970</v>
      </c>
      <c r="AU763">
        <v>2005</v>
      </c>
      <c r="AV763">
        <v>29</v>
      </c>
      <c r="AW763">
        <v>5</v>
      </c>
      <c r="AX763" t="s">
        <v>74</v>
      </c>
      <c r="AY763" t="s">
        <v>74</v>
      </c>
      <c r="AZ763" t="s">
        <v>74</v>
      </c>
      <c r="BA763" t="s">
        <v>74</v>
      </c>
      <c r="BB763">
        <v>391</v>
      </c>
      <c r="BC763">
        <v>405</v>
      </c>
      <c r="BD763" t="s">
        <v>74</v>
      </c>
      <c r="BE763" t="s">
        <v>11684</v>
      </c>
      <c r="BF763" t="str">
        <f>HYPERLINK("http://dx.doi.org/10.1016/j.marpol.2004.06.007","http://dx.doi.org/10.1016/j.marpol.2004.06.007")</f>
        <v>http://dx.doi.org/10.1016/j.marpol.2004.06.007</v>
      </c>
      <c r="BG763" t="s">
        <v>74</v>
      </c>
      <c r="BH763" t="s">
        <v>74</v>
      </c>
      <c r="BI763">
        <v>15</v>
      </c>
      <c r="BJ763" t="s">
        <v>11685</v>
      </c>
      <c r="BK763" t="s">
        <v>5934</v>
      </c>
      <c r="BL763" t="s">
        <v>11686</v>
      </c>
      <c r="BM763" t="s">
        <v>11687</v>
      </c>
      <c r="BN763" t="s">
        <v>74</v>
      </c>
      <c r="BO763" t="s">
        <v>74</v>
      </c>
      <c r="BP763" t="s">
        <v>74</v>
      </c>
      <c r="BQ763" t="s">
        <v>74</v>
      </c>
      <c r="BR763" t="s">
        <v>101</v>
      </c>
      <c r="BS763" t="s">
        <v>11688</v>
      </c>
      <c r="BT763" t="str">
        <f>HYPERLINK("https%3A%2F%2Fwww.webofscience.com%2Fwos%2Fwoscc%2Ffull-record%2FWOS:000230043900002","View Full Record in Web of Science")</f>
        <v>View Full Record in Web of Science</v>
      </c>
    </row>
    <row r="764" spans="1:72" x14ac:dyDescent="0.15">
      <c r="A764" t="s">
        <v>72</v>
      </c>
      <c r="B764" t="s">
        <v>11689</v>
      </c>
      <c r="C764" t="s">
        <v>74</v>
      </c>
      <c r="D764" t="s">
        <v>74</v>
      </c>
      <c r="E764" t="s">
        <v>74</v>
      </c>
      <c r="F764" t="s">
        <v>11689</v>
      </c>
      <c r="G764" t="s">
        <v>74</v>
      </c>
      <c r="H764" t="s">
        <v>74</v>
      </c>
      <c r="I764" t="s">
        <v>11690</v>
      </c>
      <c r="J764" t="s">
        <v>3232</v>
      </c>
      <c r="K764" t="s">
        <v>74</v>
      </c>
      <c r="L764" t="s">
        <v>74</v>
      </c>
      <c r="M764" t="s">
        <v>77</v>
      </c>
      <c r="N764" t="s">
        <v>52</v>
      </c>
      <c r="O764" t="s">
        <v>11691</v>
      </c>
      <c r="P764" t="s">
        <v>11692</v>
      </c>
      <c r="Q764" t="s">
        <v>11693</v>
      </c>
      <c r="R764" t="s">
        <v>74</v>
      </c>
      <c r="S764" t="s">
        <v>74</v>
      </c>
      <c r="T764" t="s">
        <v>74</v>
      </c>
      <c r="U764" t="s">
        <v>74</v>
      </c>
      <c r="V764" t="s">
        <v>74</v>
      </c>
      <c r="W764" t="s">
        <v>11694</v>
      </c>
      <c r="X764" t="s">
        <v>11695</v>
      </c>
      <c r="Y764" t="s">
        <v>74</v>
      </c>
      <c r="Z764" t="s">
        <v>11696</v>
      </c>
      <c r="AA764" t="s">
        <v>74</v>
      </c>
      <c r="AB764" t="s">
        <v>74</v>
      </c>
      <c r="AC764" t="s">
        <v>74</v>
      </c>
      <c r="AD764" t="s">
        <v>74</v>
      </c>
      <c r="AE764" t="s">
        <v>74</v>
      </c>
      <c r="AF764" t="s">
        <v>74</v>
      </c>
      <c r="AG764">
        <v>7</v>
      </c>
      <c r="AH764">
        <v>3</v>
      </c>
      <c r="AI764">
        <v>3</v>
      </c>
      <c r="AJ764">
        <v>0</v>
      </c>
      <c r="AK764">
        <v>2</v>
      </c>
      <c r="AL764" t="s">
        <v>2025</v>
      </c>
      <c r="AM764" t="s">
        <v>2026</v>
      </c>
      <c r="AN764" t="s">
        <v>2027</v>
      </c>
      <c r="AO764" t="s">
        <v>3242</v>
      </c>
      <c r="AP764" t="s">
        <v>11697</v>
      </c>
      <c r="AQ764" t="s">
        <v>74</v>
      </c>
      <c r="AR764" t="s">
        <v>3243</v>
      </c>
      <c r="AS764" t="s">
        <v>3244</v>
      </c>
      <c r="AT764" t="s">
        <v>10970</v>
      </c>
      <c r="AU764">
        <v>2005</v>
      </c>
      <c r="AV764">
        <v>40</v>
      </c>
      <c r="AW764">
        <v>9</v>
      </c>
      <c r="AX764" t="s">
        <v>74</v>
      </c>
      <c r="AY764" t="s">
        <v>577</v>
      </c>
      <c r="AZ764" t="s">
        <v>74</v>
      </c>
      <c r="BA764" t="s">
        <v>74</v>
      </c>
      <c r="BB764" t="s">
        <v>11698</v>
      </c>
      <c r="BC764" t="s">
        <v>11698</v>
      </c>
      <c r="BD764" t="s">
        <v>74</v>
      </c>
      <c r="BE764" t="s">
        <v>74</v>
      </c>
      <c r="BF764" t="s">
        <v>74</v>
      </c>
      <c r="BG764" t="s">
        <v>74</v>
      </c>
      <c r="BH764" t="s">
        <v>74</v>
      </c>
      <c r="BI764">
        <v>1</v>
      </c>
      <c r="BJ764" t="s">
        <v>1348</v>
      </c>
      <c r="BK764" t="s">
        <v>1411</v>
      </c>
      <c r="BL764" t="s">
        <v>1348</v>
      </c>
      <c r="BM764" t="s">
        <v>11699</v>
      </c>
      <c r="BN764" t="s">
        <v>74</v>
      </c>
      <c r="BO764" t="s">
        <v>74</v>
      </c>
      <c r="BP764" t="s">
        <v>74</v>
      </c>
      <c r="BQ764" t="s">
        <v>74</v>
      </c>
      <c r="BR764" t="s">
        <v>101</v>
      </c>
      <c r="BS764" t="s">
        <v>11700</v>
      </c>
      <c r="BT764" t="str">
        <f>HYPERLINK("https%3A%2F%2Fwww.webofscience.com%2Fwos%2Fwoscc%2Ffull-record%2FWOS:000234871000014","View Full Record in Web of Science")</f>
        <v>View Full Record in Web of Science</v>
      </c>
    </row>
    <row r="765" spans="1:72" x14ac:dyDescent="0.15">
      <c r="A765" t="s">
        <v>72</v>
      </c>
      <c r="B765" t="s">
        <v>11701</v>
      </c>
      <c r="C765" t="s">
        <v>74</v>
      </c>
      <c r="D765" t="s">
        <v>74</v>
      </c>
      <c r="E765" t="s">
        <v>74</v>
      </c>
      <c r="F765" t="s">
        <v>11701</v>
      </c>
      <c r="G765" t="s">
        <v>74</v>
      </c>
      <c r="H765" t="s">
        <v>74</v>
      </c>
      <c r="I765" t="s">
        <v>11702</v>
      </c>
      <c r="J765" t="s">
        <v>3232</v>
      </c>
      <c r="K765" t="s">
        <v>74</v>
      </c>
      <c r="L765" t="s">
        <v>74</v>
      </c>
      <c r="M765" t="s">
        <v>77</v>
      </c>
      <c r="N765" t="s">
        <v>52</v>
      </c>
      <c r="O765" t="s">
        <v>11691</v>
      </c>
      <c r="P765" t="s">
        <v>11692</v>
      </c>
      <c r="Q765" t="s">
        <v>11693</v>
      </c>
      <c r="R765" t="s">
        <v>74</v>
      </c>
      <c r="S765" t="s">
        <v>74</v>
      </c>
      <c r="T765" t="s">
        <v>74</v>
      </c>
      <c r="U765" t="s">
        <v>74</v>
      </c>
      <c r="V765" t="s">
        <v>74</v>
      </c>
      <c r="W765" t="s">
        <v>11703</v>
      </c>
      <c r="X765" t="s">
        <v>11704</v>
      </c>
      <c r="Y765" t="s">
        <v>74</v>
      </c>
      <c r="Z765" t="s">
        <v>11705</v>
      </c>
      <c r="AA765" t="s">
        <v>11706</v>
      </c>
      <c r="AB765" t="s">
        <v>11707</v>
      </c>
      <c r="AC765" t="s">
        <v>74</v>
      </c>
      <c r="AD765" t="s">
        <v>74</v>
      </c>
      <c r="AE765" t="s">
        <v>74</v>
      </c>
      <c r="AF765" t="s">
        <v>74</v>
      </c>
      <c r="AG765">
        <v>4</v>
      </c>
      <c r="AH765">
        <v>0</v>
      </c>
      <c r="AI765">
        <v>0</v>
      </c>
      <c r="AJ765">
        <v>0</v>
      </c>
      <c r="AK765">
        <v>0</v>
      </c>
      <c r="AL765" t="s">
        <v>2025</v>
      </c>
      <c r="AM765" t="s">
        <v>2026</v>
      </c>
      <c r="AN765" t="s">
        <v>2027</v>
      </c>
      <c r="AO765" t="s">
        <v>3242</v>
      </c>
      <c r="AP765" t="s">
        <v>11697</v>
      </c>
      <c r="AQ765" t="s">
        <v>74</v>
      </c>
      <c r="AR765" t="s">
        <v>3243</v>
      </c>
      <c r="AS765" t="s">
        <v>3244</v>
      </c>
      <c r="AT765" t="s">
        <v>10970</v>
      </c>
      <c r="AU765">
        <v>2005</v>
      </c>
      <c r="AV765">
        <v>40</v>
      </c>
      <c r="AW765">
        <v>9</v>
      </c>
      <c r="AX765" t="s">
        <v>74</v>
      </c>
      <c r="AY765" t="s">
        <v>577</v>
      </c>
      <c r="AZ765" t="s">
        <v>74</v>
      </c>
      <c r="BA765" t="s">
        <v>74</v>
      </c>
      <c r="BB765" t="s">
        <v>11708</v>
      </c>
      <c r="BC765" t="s">
        <v>11708</v>
      </c>
      <c r="BD765" t="s">
        <v>74</v>
      </c>
      <c r="BE765" t="s">
        <v>74</v>
      </c>
      <c r="BF765" t="s">
        <v>74</v>
      </c>
      <c r="BG765" t="s">
        <v>74</v>
      </c>
      <c r="BH765" t="s">
        <v>74</v>
      </c>
      <c r="BI765">
        <v>1</v>
      </c>
      <c r="BJ765" t="s">
        <v>1348</v>
      </c>
      <c r="BK765" t="s">
        <v>1411</v>
      </c>
      <c r="BL765" t="s">
        <v>1348</v>
      </c>
      <c r="BM765" t="s">
        <v>11699</v>
      </c>
      <c r="BN765" t="s">
        <v>74</v>
      </c>
      <c r="BO765" t="s">
        <v>74</v>
      </c>
      <c r="BP765" t="s">
        <v>74</v>
      </c>
      <c r="BQ765" t="s">
        <v>74</v>
      </c>
      <c r="BR765" t="s">
        <v>101</v>
      </c>
      <c r="BS765" t="s">
        <v>11709</v>
      </c>
      <c r="BT765" t="str">
        <f>HYPERLINK("https%3A%2F%2Fwww.webofscience.com%2Fwos%2Fwoscc%2Ffull-record%2FWOS:000234871000026","View Full Record in Web of Science")</f>
        <v>View Full Record in Web of Science</v>
      </c>
    </row>
    <row r="766" spans="1:72" x14ac:dyDescent="0.15">
      <c r="A766" t="s">
        <v>72</v>
      </c>
      <c r="B766" t="s">
        <v>11710</v>
      </c>
      <c r="C766" t="s">
        <v>74</v>
      </c>
      <c r="D766" t="s">
        <v>74</v>
      </c>
      <c r="E766" t="s">
        <v>74</v>
      </c>
      <c r="F766" t="s">
        <v>11710</v>
      </c>
      <c r="G766" t="s">
        <v>74</v>
      </c>
      <c r="H766" t="s">
        <v>74</v>
      </c>
      <c r="I766" t="s">
        <v>11711</v>
      </c>
      <c r="J766" t="s">
        <v>3232</v>
      </c>
      <c r="K766" t="s">
        <v>74</v>
      </c>
      <c r="L766" t="s">
        <v>74</v>
      </c>
      <c r="M766" t="s">
        <v>77</v>
      </c>
      <c r="N766" t="s">
        <v>52</v>
      </c>
      <c r="O766" t="s">
        <v>11691</v>
      </c>
      <c r="P766" t="s">
        <v>11692</v>
      </c>
      <c r="Q766" t="s">
        <v>11693</v>
      </c>
      <c r="R766" t="s">
        <v>74</v>
      </c>
      <c r="S766" t="s">
        <v>74</v>
      </c>
      <c r="T766" t="s">
        <v>74</v>
      </c>
      <c r="U766" t="s">
        <v>74</v>
      </c>
      <c r="V766" t="s">
        <v>74</v>
      </c>
      <c r="W766" t="s">
        <v>11712</v>
      </c>
      <c r="X766" t="s">
        <v>11713</v>
      </c>
      <c r="Y766" t="s">
        <v>74</v>
      </c>
      <c r="Z766" t="s">
        <v>11714</v>
      </c>
      <c r="AA766" t="s">
        <v>11715</v>
      </c>
      <c r="AB766" t="s">
        <v>11716</v>
      </c>
      <c r="AC766" t="s">
        <v>74</v>
      </c>
      <c r="AD766" t="s">
        <v>74</v>
      </c>
      <c r="AE766" t="s">
        <v>74</v>
      </c>
      <c r="AF766" t="s">
        <v>74</v>
      </c>
      <c r="AG766">
        <v>4</v>
      </c>
      <c r="AH766">
        <v>0</v>
      </c>
      <c r="AI766">
        <v>0</v>
      </c>
      <c r="AJ766">
        <v>0</v>
      </c>
      <c r="AK766">
        <v>2</v>
      </c>
      <c r="AL766" t="s">
        <v>3239</v>
      </c>
      <c r="AM766" t="s">
        <v>3240</v>
      </c>
      <c r="AN766" t="s">
        <v>3241</v>
      </c>
      <c r="AO766" t="s">
        <v>3242</v>
      </c>
      <c r="AP766" t="s">
        <v>74</v>
      </c>
      <c r="AQ766" t="s">
        <v>74</v>
      </c>
      <c r="AR766" t="s">
        <v>3243</v>
      </c>
      <c r="AS766" t="s">
        <v>3244</v>
      </c>
      <c r="AT766" t="s">
        <v>10970</v>
      </c>
      <c r="AU766">
        <v>2005</v>
      </c>
      <c r="AV766">
        <v>40</v>
      </c>
      <c r="AW766">
        <v>9</v>
      </c>
      <c r="AX766" t="s">
        <v>74</v>
      </c>
      <c r="AY766" t="s">
        <v>577</v>
      </c>
      <c r="AZ766" t="s">
        <v>74</v>
      </c>
      <c r="BA766" t="s">
        <v>74</v>
      </c>
      <c r="BB766" t="s">
        <v>11717</v>
      </c>
      <c r="BC766" t="s">
        <v>11717</v>
      </c>
      <c r="BD766" t="s">
        <v>74</v>
      </c>
      <c r="BE766" t="s">
        <v>74</v>
      </c>
      <c r="BF766" t="s">
        <v>74</v>
      </c>
      <c r="BG766" t="s">
        <v>74</v>
      </c>
      <c r="BH766" t="s">
        <v>74</v>
      </c>
      <c r="BI766">
        <v>1</v>
      </c>
      <c r="BJ766" t="s">
        <v>1348</v>
      </c>
      <c r="BK766" t="s">
        <v>356</v>
      </c>
      <c r="BL766" t="s">
        <v>1348</v>
      </c>
      <c r="BM766" t="s">
        <v>11699</v>
      </c>
      <c r="BN766" t="s">
        <v>74</v>
      </c>
      <c r="BO766" t="s">
        <v>74</v>
      </c>
      <c r="BP766" t="s">
        <v>74</v>
      </c>
      <c r="BQ766" t="s">
        <v>74</v>
      </c>
      <c r="BR766" t="s">
        <v>101</v>
      </c>
      <c r="BS766" t="s">
        <v>11718</v>
      </c>
      <c r="BT766" t="str">
        <f>HYPERLINK("https%3A%2F%2Fwww.webofscience.com%2Fwos%2Fwoscc%2Ffull-record%2FWOS:000234871000083","View Full Record in Web of Science")</f>
        <v>View Full Record in Web of Science</v>
      </c>
    </row>
    <row r="767" spans="1:72" x14ac:dyDescent="0.15">
      <c r="A767" t="s">
        <v>72</v>
      </c>
      <c r="B767" t="s">
        <v>11719</v>
      </c>
      <c r="C767" t="s">
        <v>74</v>
      </c>
      <c r="D767" t="s">
        <v>74</v>
      </c>
      <c r="E767" t="s">
        <v>74</v>
      </c>
      <c r="F767" t="s">
        <v>11719</v>
      </c>
      <c r="G767" t="s">
        <v>74</v>
      </c>
      <c r="H767" t="s">
        <v>74</v>
      </c>
      <c r="I767" t="s">
        <v>11720</v>
      </c>
      <c r="J767" t="s">
        <v>3232</v>
      </c>
      <c r="K767" t="s">
        <v>74</v>
      </c>
      <c r="L767" t="s">
        <v>74</v>
      </c>
      <c r="M767" t="s">
        <v>77</v>
      </c>
      <c r="N767" t="s">
        <v>52</v>
      </c>
      <c r="O767" t="s">
        <v>11691</v>
      </c>
      <c r="P767" t="s">
        <v>11692</v>
      </c>
      <c r="Q767" t="s">
        <v>11693</v>
      </c>
      <c r="R767" t="s">
        <v>74</v>
      </c>
      <c r="S767" t="s">
        <v>74</v>
      </c>
      <c r="T767" t="s">
        <v>74</v>
      </c>
      <c r="U767" t="s">
        <v>11721</v>
      </c>
      <c r="V767" t="s">
        <v>74</v>
      </c>
      <c r="W767" t="s">
        <v>11722</v>
      </c>
      <c r="X767" t="s">
        <v>11723</v>
      </c>
      <c r="Y767" t="s">
        <v>74</v>
      </c>
      <c r="Z767" t="s">
        <v>11724</v>
      </c>
      <c r="AA767" t="s">
        <v>74</v>
      </c>
      <c r="AB767" t="s">
        <v>74</v>
      </c>
      <c r="AC767" t="s">
        <v>74</v>
      </c>
      <c r="AD767" t="s">
        <v>74</v>
      </c>
      <c r="AE767" t="s">
        <v>74</v>
      </c>
      <c r="AF767" t="s">
        <v>74</v>
      </c>
      <c r="AG767">
        <v>8</v>
      </c>
      <c r="AH767">
        <v>0</v>
      </c>
      <c r="AI767">
        <v>0</v>
      </c>
      <c r="AJ767">
        <v>0</v>
      </c>
      <c r="AK767">
        <v>0</v>
      </c>
      <c r="AL767" t="s">
        <v>3239</v>
      </c>
      <c r="AM767" t="s">
        <v>3240</v>
      </c>
      <c r="AN767" t="s">
        <v>3241</v>
      </c>
      <c r="AO767" t="s">
        <v>3242</v>
      </c>
      <c r="AP767" t="s">
        <v>74</v>
      </c>
      <c r="AQ767" t="s">
        <v>74</v>
      </c>
      <c r="AR767" t="s">
        <v>3243</v>
      </c>
      <c r="AS767" t="s">
        <v>3244</v>
      </c>
      <c r="AT767" t="s">
        <v>10970</v>
      </c>
      <c r="AU767">
        <v>2005</v>
      </c>
      <c r="AV767">
        <v>40</v>
      </c>
      <c r="AW767">
        <v>9</v>
      </c>
      <c r="AX767" t="s">
        <v>74</v>
      </c>
      <c r="AY767" t="s">
        <v>577</v>
      </c>
      <c r="AZ767" t="s">
        <v>74</v>
      </c>
      <c r="BA767" t="s">
        <v>74</v>
      </c>
      <c r="BB767" t="s">
        <v>11725</v>
      </c>
      <c r="BC767" t="s">
        <v>11725</v>
      </c>
      <c r="BD767" t="s">
        <v>74</v>
      </c>
      <c r="BE767" t="s">
        <v>74</v>
      </c>
      <c r="BF767" t="s">
        <v>74</v>
      </c>
      <c r="BG767" t="s">
        <v>74</v>
      </c>
      <c r="BH767" t="s">
        <v>74</v>
      </c>
      <c r="BI767">
        <v>1</v>
      </c>
      <c r="BJ767" t="s">
        <v>1348</v>
      </c>
      <c r="BK767" t="s">
        <v>356</v>
      </c>
      <c r="BL767" t="s">
        <v>1348</v>
      </c>
      <c r="BM767" t="s">
        <v>11699</v>
      </c>
      <c r="BN767" t="s">
        <v>74</v>
      </c>
      <c r="BO767" t="s">
        <v>74</v>
      </c>
      <c r="BP767" t="s">
        <v>74</v>
      </c>
      <c r="BQ767" t="s">
        <v>74</v>
      </c>
      <c r="BR767" t="s">
        <v>101</v>
      </c>
      <c r="BS767" t="s">
        <v>11726</v>
      </c>
      <c r="BT767" t="str">
        <f>HYPERLINK("https%3A%2F%2Fwww.webofscience.com%2Fwos%2Fwoscc%2Ffull-record%2FWOS:000234871000121","View Full Record in Web of Science")</f>
        <v>View Full Record in Web of Science</v>
      </c>
    </row>
    <row r="768" spans="1:72" x14ac:dyDescent="0.15">
      <c r="A768" t="s">
        <v>72</v>
      </c>
      <c r="B768" t="s">
        <v>11727</v>
      </c>
      <c r="C768" t="s">
        <v>74</v>
      </c>
      <c r="D768" t="s">
        <v>74</v>
      </c>
      <c r="E768" t="s">
        <v>74</v>
      </c>
      <c r="F768" t="s">
        <v>11727</v>
      </c>
      <c r="G768" t="s">
        <v>74</v>
      </c>
      <c r="H768" t="s">
        <v>74</v>
      </c>
      <c r="I768" t="s">
        <v>11728</v>
      </c>
      <c r="J768" t="s">
        <v>3232</v>
      </c>
      <c r="K768" t="s">
        <v>74</v>
      </c>
      <c r="L768" t="s">
        <v>74</v>
      </c>
      <c r="M768" t="s">
        <v>77</v>
      </c>
      <c r="N768" t="s">
        <v>52</v>
      </c>
      <c r="O768" t="s">
        <v>11691</v>
      </c>
      <c r="P768" t="s">
        <v>11692</v>
      </c>
      <c r="Q768" t="s">
        <v>11693</v>
      </c>
      <c r="R768" t="s">
        <v>74</v>
      </c>
      <c r="S768" t="s">
        <v>74</v>
      </c>
      <c r="T768" t="s">
        <v>74</v>
      </c>
      <c r="U768" t="s">
        <v>74</v>
      </c>
      <c r="V768" t="s">
        <v>74</v>
      </c>
      <c r="W768" t="s">
        <v>11722</v>
      </c>
      <c r="X768" t="s">
        <v>11723</v>
      </c>
      <c r="Y768" t="s">
        <v>74</v>
      </c>
      <c r="Z768" t="s">
        <v>11729</v>
      </c>
      <c r="AA768" t="s">
        <v>11730</v>
      </c>
      <c r="AB768" t="s">
        <v>11731</v>
      </c>
      <c r="AC768" t="s">
        <v>74</v>
      </c>
      <c r="AD768" t="s">
        <v>74</v>
      </c>
      <c r="AE768" t="s">
        <v>74</v>
      </c>
      <c r="AF768" t="s">
        <v>74</v>
      </c>
      <c r="AG768">
        <v>7</v>
      </c>
      <c r="AH768">
        <v>0</v>
      </c>
      <c r="AI768">
        <v>0</v>
      </c>
      <c r="AJ768">
        <v>0</v>
      </c>
      <c r="AK768">
        <v>3</v>
      </c>
      <c r="AL768" t="s">
        <v>3239</v>
      </c>
      <c r="AM768" t="s">
        <v>3240</v>
      </c>
      <c r="AN768" t="s">
        <v>3241</v>
      </c>
      <c r="AO768" t="s">
        <v>3242</v>
      </c>
      <c r="AP768" t="s">
        <v>74</v>
      </c>
      <c r="AQ768" t="s">
        <v>74</v>
      </c>
      <c r="AR768" t="s">
        <v>3243</v>
      </c>
      <c r="AS768" t="s">
        <v>3244</v>
      </c>
      <c r="AT768" t="s">
        <v>10970</v>
      </c>
      <c r="AU768">
        <v>2005</v>
      </c>
      <c r="AV768">
        <v>40</v>
      </c>
      <c r="AW768">
        <v>9</v>
      </c>
      <c r="AX768" t="s">
        <v>74</v>
      </c>
      <c r="AY768" t="s">
        <v>577</v>
      </c>
      <c r="AZ768" t="s">
        <v>74</v>
      </c>
      <c r="BA768" t="s">
        <v>74</v>
      </c>
      <c r="BB768" t="s">
        <v>11732</v>
      </c>
      <c r="BC768" t="s">
        <v>11732</v>
      </c>
      <c r="BD768" t="s">
        <v>74</v>
      </c>
      <c r="BE768" t="s">
        <v>74</v>
      </c>
      <c r="BF768" t="s">
        <v>74</v>
      </c>
      <c r="BG768" t="s">
        <v>74</v>
      </c>
      <c r="BH768" t="s">
        <v>74</v>
      </c>
      <c r="BI768">
        <v>1</v>
      </c>
      <c r="BJ768" t="s">
        <v>1348</v>
      </c>
      <c r="BK768" t="s">
        <v>356</v>
      </c>
      <c r="BL768" t="s">
        <v>1348</v>
      </c>
      <c r="BM768" t="s">
        <v>11699</v>
      </c>
      <c r="BN768" t="s">
        <v>74</v>
      </c>
      <c r="BO768" t="s">
        <v>74</v>
      </c>
      <c r="BP768" t="s">
        <v>74</v>
      </c>
      <c r="BQ768" t="s">
        <v>74</v>
      </c>
      <c r="BR768" t="s">
        <v>101</v>
      </c>
      <c r="BS768" t="s">
        <v>11733</v>
      </c>
      <c r="BT768" t="str">
        <f>HYPERLINK("https%3A%2F%2Fwww.webofscience.com%2Fwos%2Fwoscc%2Ffull-record%2FWOS:000234871000140","View Full Record in Web of Science")</f>
        <v>View Full Record in Web of Science</v>
      </c>
    </row>
    <row r="769" spans="1:72" x14ac:dyDescent="0.15">
      <c r="A769" t="s">
        <v>72</v>
      </c>
      <c r="B769" t="s">
        <v>11734</v>
      </c>
      <c r="C769" t="s">
        <v>74</v>
      </c>
      <c r="D769" t="s">
        <v>74</v>
      </c>
      <c r="E769" t="s">
        <v>74</v>
      </c>
      <c r="F769" t="s">
        <v>11734</v>
      </c>
      <c r="G769" t="s">
        <v>74</v>
      </c>
      <c r="H769" t="s">
        <v>74</v>
      </c>
      <c r="I769" t="s">
        <v>11735</v>
      </c>
      <c r="J769" t="s">
        <v>3232</v>
      </c>
      <c r="K769" t="s">
        <v>74</v>
      </c>
      <c r="L769" t="s">
        <v>74</v>
      </c>
      <c r="M769" t="s">
        <v>77</v>
      </c>
      <c r="N769" t="s">
        <v>52</v>
      </c>
      <c r="O769" t="s">
        <v>11691</v>
      </c>
      <c r="P769" t="s">
        <v>11692</v>
      </c>
      <c r="Q769" t="s">
        <v>11693</v>
      </c>
      <c r="R769" t="s">
        <v>74</v>
      </c>
      <c r="S769" t="s">
        <v>74</v>
      </c>
      <c r="T769" t="s">
        <v>74</v>
      </c>
      <c r="U769" t="s">
        <v>74</v>
      </c>
      <c r="V769" t="s">
        <v>74</v>
      </c>
      <c r="W769" t="s">
        <v>11736</v>
      </c>
      <c r="X769" t="s">
        <v>1627</v>
      </c>
      <c r="Y769" t="s">
        <v>74</v>
      </c>
      <c r="Z769" t="s">
        <v>11737</v>
      </c>
      <c r="AA769" t="s">
        <v>74</v>
      </c>
      <c r="AB769" t="s">
        <v>74</v>
      </c>
      <c r="AC769" t="s">
        <v>74</v>
      </c>
      <c r="AD769" t="s">
        <v>74</v>
      </c>
      <c r="AE769" t="s">
        <v>74</v>
      </c>
      <c r="AF769" t="s">
        <v>74</v>
      </c>
      <c r="AG769">
        <v>0</v>
      </c>
      <c r="AH769">
        <v>2</v>
      </c>
      <c r="AI769">
        <v>2</v>
      </c>
      <c r="AJ769">
        <v>0</v>
      </c>
      <c r="AK769">
        <v>1</v>
      </c>
      <c r="AL769" t="s">
        <v>3239</v>
      </c>
      <c r="AM769" t="s">
        <v>3240</v>
      </c>
      <c r="AN769" t="s">
        <v>3241</v>
      </c>
      <c r="AO769" t="s">
        <v>3242</v>
      </c>
      <c r="AP769" t="s">
        <v>74</v>
      </c>
      <c r="AQ769" t="s">
        <v>74</v>
      </c>
      <c r="AR769" t="s">
        <v>3243</v>
      </c>
      <c r="AS769" t="s">
        <v>3244</v>
      </c>
      <c r="AT769" t="s">
        <v>10970</v>
      </c>
      <c r="AU769">
        <v>2005</v>
      </c>
      <c r="AV769">
        <v>40</v>
      </c>
      <c r="AW769">
        <v>9</v>
      </c>
      <c r="AX769" t="s">
        <v>74</v>
      </c>
      <c r="AY769" t="s">
        <v>577</v>
      </c>
      <c r="AZ769" t="s">
        <v>74</v>
      </c>
      <c r="BA769" t="s">
        <v>74</v>
      </c>
      <c r="BB769" t="s">
        <v>11738</v>
      </c>
      <c r="BC769" t="s">
        <v>11738</v>
      </c>
      <c r="BD769" t="s">
        <v>74</v>
      </c>
      <c r="BE769" t="s">
        <v>74</v>
      </c>
      <c r="BF769" t="s">
        <v>74</v>
      </c>
      <c r="BG769" t="s">
        <v>74</v>
      </c>
      <c r="BH769" t="s">
        <v>74</v>
      </c>
      <c r="BI769">
        <v>1</v>
      </c>
      <c r="BJ769" t="s">
        <v>1348</v>
      </c>
      <c r="BK769" t="s">
        <v>356</v>
      </c>
      <c r="BL769" t="s">
        <v>1348</v>
      </c>
      <c r="BM769" t="s">
        <v>11699</v>
      </c>
      <c r="BN769" t="s">
        <v>74</v>
      </c>
      <c r="BO769" t="s">
        <v>74</v>
      </c>
      <c r="BP769" t="s">
        <v>74</v>
      </c>
      <c r="BQ769" t="s">
        <v>74</v>
      </c>
      <c r="BR769" t="s">
        <v>101</v>
      </c>
      <c r="BS769" t="s">
        <v>11739</v>
      </c>
      <c r="BT769" t="str">
        <f>HYPERLINK("https%3A%2F%2Fwww.webofscience.com%2Fwos%2Fwoscc%2Ffull-record%2FWOS:000234871000302","View Full Record in Web of Science")</f>
        <v>View Full Record in Web of Science</v>
      </c>
    </row>
    <row r="770" spans="1:72" x14ac:dyDescent="0.15">
      <c r="A770" t="s">
        <v>72</v>
      </c>
      <c r="B770" t="s">
        <v>11740</v>
      </c>
      <c r="C770" t="s">
        <v>74</v>
      </c>
      <c r="D770" t="s">
        <v>74</v>
      </c>
      <c r="E770" t="s">
        <v>74</v>
      </c>
      <c r="F770" t="s">
        <v>11740</v>
      </c>
      <c r="G770" t="s">
        <v>74</v>
      </c>
      <c r="H770" t="s">
        <v>74</v>
      </c>
      <c r="I770" t="s">
        <v>11741</v>
      </c>
      <c r="J770" t="s">
        <v>3232</v>
      </c>
      <c r="K770" t="s">
        <v>74</v>
      </c>
      <c r="L770" t="s">
        <v>74</v>
      </c>
      <c r="M770" t="s">
        <v>77</v>
      </c>
      <c r="N770" t="s">
        <v>52</v>
      </c>
      <c r="O770" t="s">
        <v>11691</v>
      </c>
      <c r="P770" t="s">
        <v>11692</v>
      </c>
      <c r="Q770" t="s">
        <v>11693</v>
      </c>
      <c r="R770" t="s">
        <v>74</v>
      </c>
      <c r="S770" t="s">
        <v>74</v>
      </c>
      <c r="T770" t="s">
        <v>74</v>
      </c>
      <c r="U770" t="s">
        <v>11742</v>
      </c>
      <c r="V770" t="s">
        <v>74</v>
      </c>
      <c r="W770" t="s">
        <v>11743</v>
      </c>
      <c r="X770" t="s">
        <v>11744</v>
      </c>
      <c r="Y770" t="s">
        <v>74</v>
      </c>
      <c r="Z770" t="s">
        <v>11737</v>
      </c>
      <c r="AA770" t="s">
        <v>74</v>
      </c>
      <c r="AB770" t="s">
        <v>74</v>
      </c>
      <c r="AC770" t="s">
        <v>74</v>
      </c>
      <c r="AD770" t="s">
        <v>74</v>
      </c>
      <c r="AE770" t="s">
        <v>74</v>
      </c>
      <c r="AF770" t="s">
        <v>74</v>
      </c>
      <c r="AG770">
        <v>6</v>
      </c>
      <c r="AH770">
        <v>2</v>
      </c>
      <c r="AI770">
        <v>2</v>
      </c>
      <c r="AJ770">
        <v>0</v>
      </c>
      <c r="AK770">
        <v>1</v>
      </c>
      <c r="AL770" t="s">
        <v>3239</v>
      </c>
      <c r="AM770" t="s">
        <v>3240</v>
      </c>
      <c r="AN770" t="s">
        <v>3241</v>
      </c>
      <c r="AO770" t="s">
        <v>3242</v>
      </c>
      <c r="AP770" t="s">
        <v>74</v>
      </c>
      <c r="AQ770" t="s">
        <v>74</v>
      </c>
      <c r="AR770" t="s">
        <v>3243</v>
      </c>
      <c r="AS770" t="s">
        <v>3244</v>
      </c>
      <c r="AT770" t="s">
        <v>10970</v>
      </c>
      <c r="AU770">
        <v>2005</v>
      </c>
      <c r="AV770">
        <v>40</v>
      </c>
      <c r="AW770">
        <v>9</v>
      </c>
      <c r="AX770" t="s">
        <v>74</v>
      </c>
      <c r="AY770" t="s">
        <v>577</v>
      </c>
      <c r="AZ770" t="s">
        <v>74</v>
      </c>
      <c r="BA770" t="s">
        <v>74</v>
      </c>
      <c r="BB770" t="s">
        <v>11738</v>
      </c>
      <c r="BC770" t="s">
        <v>11738</v>
      </c>
      <c r="BD770" t="s">
        <v>74</v>
      </c>
      <c r="BE770" t="s">
        <v>74</v>
      </c>
      <c r="BF770" t="s">
        <v>74</v>
      </c>
      <c r="BG770" t="s">
        <v>74</v>
      </c>
      <c r="BH770" t="s">
        <v>74</v>
      </c>
      <c r="BI770">
        <v>1</v>
      </c>
      <c r="BJ770" t="s">
        <v>1348</v>
      </c>
      <c r="BK770" t="s">
        <v>356</v>
      </c>
      <c r="BL770" t="s">
        <v>1348</v>
      </c>
      <c r="BM770" t="s">
        <v>11699</v>
      </c>
      <c r="BN770" t="s">
        <v>74</v>
      </c>
      <c r="BO770" t="s">
        <v>74</v>
      </c>
      <c r="BP770" t="s">
        <v>74</v>
      </c>
      <c r="BQ770" t="s">
        <v>74</v>
      </c>
      <c r="BR770" t="s">
        <v>101</v>
      </c>
      <c r="BS770" t="s">
        <v>11745</v>
      </c>
      <c r="BT770" t="str">
        <f>HYPERLINK("https%3A%2F%2Fwww.webofscience.com%2Fwos%2Fwoscc%2Ffull-record%2FWOS:000234871000303","View Full Record in Web of Science")</f>
        <v>View Full Record in Web of Science</v>
      </c>
    </row>
    <row r="771" spans="1:72" x14ac:dyDescent="0.15">
      <c r="A771" t="s">
        <v>72</v>
      </c>
      <c r="B771" t="s">
        <v>11746</v>
      </c>
      <c r="C771" t="s">
        <v>74</v>
      </c>
      <c r="D771" t="s">
        <v>74</v>
      </c>
      <c r="E771" t="s">
        <v>74</v>
      </c>
      <c r="F771" t="s">
        <v>11746</v>
      </c>
      <c r="G771" t="s">
        <v>74</v>
      </c>
      <c r="H771" t="s">
        <v>74</v>
      </c>
      <c r="I771" t="s">
        <v>11747</v>
      </c>
      <c r="J771" t="s">
        <v>3232</v>
      </c>
      <c r="K771" t="s">
        <v>74</v>
      </c>
      <c r="L771" t="s">
        <v>74</v>
      </c>
      <c r="M771" t="s">
        <v>77</v>
      </c>
      <c r="N771" t="s">
        <v>52</v>
      </c>
      <c r="O771" t="s">
        <v>11691</v>
      </c>
      <c r="P771" t="s">
        <v>11692</v>
      </c>
      <c r="Q771" t="s">
        <v>11693</v>
      </c>
      <c r="R771" t="s">
        <v>74</v>
      </c>
      <c r="S771" t="s">
        <v>74</v>
      </c>
      <c r="T771" t="s">
        <v>74</v>
      </c>
      <c r="U771" t="s">
        <v>74</v>
      </c>
      <c r="V771" t="s">
        <v>74</v>
      </c>
      <c r="W771" t="s">
        <v>11748</v>
      </c>
      <c r="X771" t="s">
        <v>11749</v>
      </c>
      <c r="Y771" t="s">
        <v>74</v>
      </c>
      <c r="Z771" t="s">
        <v>11750</v>
      </c>
      <c r="AA771" t="s">
        <v>11751</v>
      </c>
      <c r="AB771" t="s">
        <v>74</v>
      </c>
      <c r="AC771" t="s">
        <v>74</v>
      </c>
      <c r="AD771" t="s">
        <v>74</v>
      </c>
      <c r="AE771" t="s">
        <v>74</v>
      </c>
      <c r="AF771" t="s">
        <v>74</v>
      </c>
      <c r="AG771">
        <v>4</v>
      </c>
      <c r="AH771">
        <v>1</v>
      </c>
      <c r="AI771">
        <v>1</v>
      </c>
      <c r="AJ771">
        <v>0</v>
      </c>
      <c r="AK771">
        <v>2</v>
      </c>
      <c r="AL771" t="s">
        <v>3239</v>
      </c>
      <c r="AM771" t="s">
        <v>3240</v>
      </c>
      <c r="AN771" t="s">
        <v>3241</v>
      </c>
      <c r="AO771" t="s">
        <v>3242</v>
      </c>
      <c r="AP771" t="s">
        <v>74</v>
      </c>
      <c r="AQ771" t="s">
        <v>74</v>
      </c>
      <c r="AR771" t="s">
        <v>3243</v>
      </c>
      <c r="AS771" t="s">
        <v>3244</v>
      </c>
      <c r="AT771" t="s">
        <v>10970</v>
      </c>
      <c r="AU771">
        <v>2005</v>
      </c>
      <c r="AV771">
        <v>40</v>
      </c>
      <c r="AW771">
        <v>9</v>
      </c>
      <c r="AX771" t="s">
        <v>74</v>
      </c>
      <c r="AY771" t="s">
        <v>577</v>
      </c>
      <c r="AZ771" t="s">
        <v>74</v>
      </c>
      <c r="BA771" t="s">
        <v>74</v>
      </c>
      <c r="BB771" t="s">
        <v>11752</v>
      </c>
      <c r="BC771" t="s">
        <v>11752</v>
      </c>
      <c r="BD771" t="s">
        <v>74</v>
      </c>
      <c r="BE771" t="s">
        <v>74</v>
      </c>
      <c r="BF771" t="s">
        <v>74</v>
      </c>
      <c r="BG771" t="s">
        <v>74</v>
      </c>
      <c r="BH771" t="s">
        <v>74</v>
      </c>
      <c r="BI771">
        <v>1</v>
      </c>
      <c r="BJ771" t="s">
        <v>1348</v>
      </c>
      <c r="BK771" t="s">
        <v>356</v>
      </c>
      <c r="BL771" t="s">
        <v>1348</v>
      </c>
      <c r="BM771" t="s">
        <v>11699</v>
      </c>
      <c r="BN771" t="s">
        <v>74</v>
      </c>
      <c r="BO771" t="s">
        <v>74</v>
      </c>
      <c r="BP771" t="s">
        <v>74</v>
      </c>
      <c r="BQ771" t="s">
        <v>74</v>
      </c>
      <c r="BR771" t="s">
        <v>101</v>
      </c>
      <c r="BS771" t="s">
        <v>11753</v>
      </c>
      <c r="BT771" t="str">
        <f>HYPERLINK("https%3A%2F%2Fwww.webofscience.com%2Fwos%2Fwoscc%2Ffull-record%2FWOS:000234871000316","View Full Record in Web of Science")</f>
        <v>View Full Record in Web of Science</v>
      </c>
    </row>
    <row r="772" spans="1:72" x14ac:dyDescent="0.15">
      <c r="A772" t="s">
        <v>72</v>
      </c>
      <c r="B772" t="s">
        <v>11754</v>
      </c>
      <c r="C772" t="s">
        <v>74</v>
      </c>
      <c r="D772" t="s">
        <v>74</v>
      </c>
      <c r="E772" t="s">
        <v>74</v>
      </c>
      <c r="F772" t="s">
        <v>11754</v>
      </c>
      <c r="G772" t="s">
        <v>74</v>
      </c>
      <c r="H772" t="s">
        <v>74</v>
      </c>
      <c r="I772" t="s">
        <v>11755</v>
      </c>
      <c r="J772" t="s">
        <v>6551</v>
      </c>
      <c r="K772" t="s">
        <v>74</v>
      </c>
      <c r="L772" t="s">
        <v>74</v>
      </c>
      <c r="M772" t="s">
        <v>77</v>
      </c>
      <c r="N772" t="s">
        <v>78</v>
      </c>
      <c r="O772" t="s">
        <v>74</v>
      </c>
      <c r="P772" t="s">
        <v>74</v>
      </c>
      <c r="Q772" t="s">
        <v>74</v>
      </c>
      <c r="R772" t="s">
        <v>74</v>
      </c>
      <c r="S772" t="s">
        <v>74</v>
      </c>
      <c r="T772" t="s">
        <v>11756</v>
      </c>
      <c r="U772" t="s">
        <v>74</v>
      </c>
      <c r="V772" t="s">
        <v>11757</v>
      </c>
      <c r="W772" t="s">
        <v>11758</v>
      </c>
      <c r="X772" t="s">
        <v>11759</v>
      </c>
      <c r="Y772" t="s">
        <v>3055</v>
      </c>
      <c r="Z772" t="s">
        <v>11760</v>
      </c>
      <c r="AA772" t="s">
        <v>11761</v>
      </c>
      <c r="AB772" t="s">
        <v>11762</v>
      </c>
      <c r="AC772" t="s">
        <v>74</v>
      </c>
      <c r="AD772" t="s">
        <v>74</v>
      </c>
      <c r="AE772" t="s">
        <v>74</v>
      </c>
      <c r="AF772" t="s">
        <v>74</v>
      </c>
      <c r="AG772">
        <v>5</v>
      </c>
      <c r="AH772">
        <v>227</v>
      </c>
      <c r="AI772">
        <v>241</v>
      </c>
      <c r="AJ772">
        <v>1</v>
      </c>
      <c r="AK772">
        <v>58</v>
      </c>
      <c r="AL772" t="s">
        <v>2025</v>
      </c>
      <c r="AM772" t="s">
        <v>2026</v>
      </c>
      <c r="AN772" t="s">
        <v>2027</v>
      </c>
      <c r="AO772" t="s">
        <v>6561</v>
      </c>
      <c r="AP772" t="s">
        <v>74</v>
      </c>
      <c r="AQ772" t="s">
        <v>74</v>
      </c>
      <c r="AR772" t="s">
        <v>6562</v>
      </c>
      <c r="AS772" t="s">
        <v>6563</v>
      </c>
      <c r="AT772" t="s">
        <v>10970</v>
      </c>
      <c r="AU772">
        <v>2005</v>
      </c>
      <c r="AV772">
        <v>5</v>
      </c>
      <c r="AW772">
        <v>3</v>
      </c>
      <c r="AX772" t="s">
        <v>74</v>
      </c>
      <c r="AY772" t="s">
        <v>74</v>
      </c>
      <c r="AZ772" t="s">
        <v>74</v>
      </c>
      <c r="BA772" t="s">
        <v>74</v>
      </c>
      <c r="BB772">
        <v>611</v>
      </c>
      <c r="BC772">
        <v>612</v>
      </c>
      <c r="BD772" t="s">
        <v>74</v>
      </c>
      <c r="BE772" t="s">
        <v>11763</v>
      </c>
      <c r="BF772" t="str">
        <f>HYPERLINK("http://dx.doi.org/10.1111/j.1471-8286.2005.01009.x","http://dx.doi.org/10.1111/j.1471-8286.2005.01009.x")</f>
        <v>http://dx.doi.org/10.1111/j.1471-8286.2005.01009.x</v>
      </c>
      <c r="BG772" t="s">
        <v>74</v>
      </c>
      <c r="BH772" t="s">
        <v>74</v>
      </c>
      <c r="BI772">
        <v>2</v>
      </c>
      <c r="BJ772" t="s">
        <v>6565</v>
      </c>
      <c r="BK772" t="s">
        <v>98</v>
      </c>
      <c r="BL772" t="s">
        <v>6566</v>
      </c>
      <c r="BM772" t="s">
        <v>11764</v>
      </c>
      <c r="BN772" t="s">
        <v>74</v>
      </c>
      <c r="BO772" t="s">
        <v>74</v>
      </c>
      <c r="BP772" t="s">
        <v>74</v>
      </c>
      <c r="BQ772" t="s">
        <v>74</v>
      </c>
      <c r="BR772" t="s">
        <v>101</v>
      </c>
      <c r="BS772" t="s">
        <v>11765</v>
      </c>
      <c r="BT772" t="str">
        <f>HYPERLINK("https%3A%2F%2Fwww.webofscience.com%2Fwos%2Fwoscc%2Ffull-record%2FWOS:000231529400049","View Full Record in Web of Science")</f>
        <v>View Full Record in Web of Science</v>
      </c>
    </row>
    <row r="773" spans="1:72" x14ac:dyDescent="0.15">
      <c r="A773" t="s">
        <v>72</v>
      </c>
      <c r="B773" t="s">
        <v>11766</v>
      </c>
      <c r="C773" t="s">
        <v>74</v>
      </c>
      <c r="D773" t="s">
        <v>74</v>
      </c>
      <c r="E773" t="s">
        <v>74</v>
      </c>
      <c r="F773" t="s">
        <v>11766</v>
      </c>
      <c r="G773" t="s">
        <v>74</v>
      </c>
      <c r="H773" t="s">
        <v>74</v>
      </c>
      <c r="I773" t="s">
        <v>11767</v>
      </c>
      <c r="J773" t="s">
        <v>11768</v>
      </c>
      <c r="K773" t="s">
        <v>74</v>
      </c>
      <c r="L773" t="s">
        <v>74</v>
      </c>
      <c r="M773" t="s">
        <v>77</v>
      </c>
      <c r="N773" t="s">
        <v>335</v>
      </c>
      <c r="O773" t="s">
        <v>11769</v>
      </c>
      <c r="P773" t="s">
        <v>11770</v>
      </c>
      <c r="Q773" t="s">
        <v>11771</v>
      </c>
      <c r="R773" t="s">
        <v>74</v>
      </c>
      <c r="S773" t="s">
        <v>11772</v>
      </c>
      <c r="T773" t="s">
        <v>11773</v>
      </c>
      <c r="U773" t="s">
        <v>11774</v>
      </c>
      <c r="V773" t="s">
        <v>11775</v>
      </c>
      <c r="W773" t="s">
        <v>11776</v>
      </c>
      <c r="X773" t="s">
        <v>11777</v>
      </c>
      <c r="Y773" t="s">
        <v>11778</v>
      </c>
      <c r="Z773" t="s">
        <v>11779</v>
      </c>
      <c r="AA773" t="s">
        <v>74</v>
      </c>
      <c r="AB773" t="s">
        <v>74</v>
      </c>
      <c r="AC773" t="s">
        <v>74</v>
      </c>
      <c r="AD773" t="s">
        <v>74</v>
      </c>
      <c r="AE773" t="s">
        <v>74</v>
      </c>
      <c r="AF773" t="s">
        <v>74</v>
      </c>
      <c r="AG773">
        <v>28</v>
      </c>
      <c r="AH773">
        <v>12</v>
      </c>
      <c r="AI773">
        <v>15</v>
      </c>
      <c r="AJ773">
        <v>0</v>
      </c>
      <c r="AK773">
        <v>16</v>
      </c>
      <c r="AL773" t="s">
        <v>2239</v>
      </c>
      <c r="AM773" t="s">
        <v>2111</v>
      </c>
      <c r="AN773" t="s">
        <v>2240</v>
      </c>
      <c r="AO773" t="s">
        <v>11780</v>
      </c>
      <c r="AP773" t="s">
        <v>11781</v>
      </c>
      <c r="AQ773" t="s">
        <v>74</v>
      </c>
      <c r="AR773" t="s">
        <v>11782</v>
      </c>
      <c r="AS773" t="s">
        <v>11783</v>
      </c>
      <c r="AT773" t="s">
        <v>10970</v>
      </c>
      <c r="AU773">
        <v>2005</v>
      </c>
      <c r="AV773">
        <v>84</v>
      </c>
      <c r="AW773">
        <v>3</v>
      </c>
      <c r="AX773" t="s">
        <v>74</v>
      </c>
      <c r="AY773" t="s">
        <v>74</v>
      </c>
      <c r="AZ773" t="s">
        <v>74</v>
      </c>
      <c r="BA773" t="s">
        <v>74</v>
      </c>
      <c r="BB773">
        <v>341</v>
      </c>
      <c r="BC773">
        <v>344</v>
      </c>
      <c r="BD773" t="s">
        <v>74</v>
      </c>
      <c r="BE773" t="s">
        <v>11784</v>
      </c>
      <c r="BF773" t="str">
        <f>HYPERLINK("http://dx.doi.org/10.1017/S0016774600021120","http://dx.doi.org/10.1017/S0016774600021120")</f>
        <v>http://dx.doi.org/10.1017/S0016774600021120</v>
      </c>
      <c r="BG773" t="s">
        <v>74</v>
      </c>
      <c r="BH773" t="s">
        <v>74</v>
      </c>
      <c r="BI773">
        <v>4</v>
      </c>
      <c r="BJ773" t="s">
        <v>1129</v>
      </c>
      <c r="BK773" t="s">
        <v>1411</v>
      </c>
      <c r="BL773" t="s">
        <v>1130</v>
      </c>
      <c r="BM773" t="s">
        <v>11785</v>
      </c>
      <c r="BN773" t="s">
        <v>74</v>
      </c>
      <c r="BO773" t="s">
        <v>1900</v>
      </c>
      <c r="BP773" t="s">
        <v>74</v>
      </c>
      <c r="BQ773" t="s">
        <v>74</v>
      </c>
      <c r="BR773" t="s">
        <v>101</v>
      </c>
      <c r="BS773" t="s">
        <v>11786</v>
      </c>
      <c r="BT773" t="str">
        <f>HYPERLINK("https%3A%2F%2Fwww.webofscience.com%2Fwos%2Fwoscc%2Ffull-record%2FWOS:000233216700020","View Full Record in Web of Science")</f>
        <v>View Full Record in Web of Science</v>
      </c>
    </row>
    <row r="774" spans="1:72" x14ac:dyDescent="0.15">
      <c r="A774" t="s">
        <v>72</v>
      </c>
      <c r="B774" t="s">
        <v>11787</v>
      </c>
      <c r="C774" t="s">
        <v>74</v>
      </c>
      <c r="D774" t="s">
        <v>74</v>
      </c>
      <c r="E774" t="s">
        <v>74</v>
      </c>
      <c r="F774" t="s">
        <v>11787</v>
      </c>
      <c r="G774" t="s">
        <v>74</v>
      </c>
      <c r="H774" t="s">
        <v>74</v>
      </c>
      <c r="I774" t="s">
        <v>11788</v>
      </c>
      <c r="J774" t="s">
        <v>11789</v>
      </c>
      <c r="K774" t="s">
        <v>74</v>
      </c>
      <c r="L774" t="s">
        <v>74</v>
      </c>
      <c r="M774" t="s">
        <v>77</v>
      </c>
      <c r="N774" t="s">
        <v>289</v>
      </c>
      <c r="O774" t="s">
        <v>74</v>
      </c>
      <c r="P774" t="s">
        <v>74</v>
      </c>
      <c r="Q774" t="s">
        <v>74</v>
      </c>
      <c r="R774" t="s">
        <v>74</v>
      </c>
      <c r="S774" t="s">
        <v>74</v>
      </c>
      <c r="T774" t="s">
        <v>11790</v>
      </c>
      <c r="U774" t="s">
        <v>11791</v>
      </c>
      <c r="V774" t="s">
        <v>11792</v>
      </c>
      <c r="W774" t="s">
        <v>11793</v>
      </c>
      <c r="X774" t="s">
        <v>11794</v>
      </c>
      <c r="Y774" t="s">
        <v>11795</v>
      </c>
      <c r="Z774" t="s">
        <v>11796</v>
      </c>
      <c r="AA774" t="s">
        <v>6806</v>
      </c>
      <c r="AB774" t="s">
        <v>6807</v>
      </c>
      <c r="AC774" t="s">
        <v>74</v>
      </c>
      <c r="AD774" t="s">
        <v>74</v>
      </c>
      <c r="AE774" t="s">
        <v>74</v>
      </c>
      <c r="AF774" t="s">
        <v>74</v>
      </c>
      <c r="AG774">
        <v>107</v>
      </c>
      <c r="AH774">
        <v>29</v>
      </c>
      <c r="AI774">
        <v>35</v>
      </c>
      <c r="AJ774">
        <v>0</v>
      </c>
      <c r="AK774">
        <v>5</v>
      </c>
      <c r="AL774" t="s">
        <v>348</v>
      </c>
      <c r="AM774" t="s">
        <v>349</v>
      </c>
      <c r="AN774" t="s">
        <v>1523</v>
      </c>
      <c r="AO774" t="s">
        <v>11797</v>
      </c>
      <c r="AP774" t="s">
        <v>11798</v>
      </c>
      <c r="AQ774" t="s">
        <v>74</v>
      </c>
      <c r="AR774" t="s">
        <v>11799</v>
      </c>
      <c r="AS774" t="s">
        <v>11800</v>
      </c>
      <c r="AT774" t="s">
        <v>10970</v>
      </c>
      <c r="AU774">
        <v>2005</v>
      </c>
      <c r="AV774">
        <v>48</v>
      </c>
      <c r="AW774">
        <v>3</v>
      </c>
      <c r="AX774" t="s">
        <v>74</v>
      </c>
      <c r="AY774" t="s">
        <v>74</v>
      </c>
      <c r="AZ774" t="s">
        <v>74</v>
      </c>
      <c r="BA774" t="s">
        <v>74</v>
      </c>
      <c r="BB774">
        <v>537</v>
      </c>
      <c r="BC774">
        <v>553</v>
      </c>
      <c r="BD774" t="s">
        <v>74</v>
      </c>
      <c r="BE774" t="s">
        <v>11801</v>
      </c>
      <c r="BF774" t="str">
        <f>HYPERLINK("http://dx.doi.org/10.1080/00288306.2005.9515132","http://dx.doi.org/10.1080/00288306.2005.9515132")</f>
        <v>http://dx.doi.org/10.1080/00288306.2005.9515132</v>
      </c>
      <c r="BG774" t="s">
        <v>74</v>
      </c>
      <c r="BH774" t="s">
        <v>74</v>
      </c>
      <c r="BI774">
        <v>17</v>
      </c>
      <c r="BJ774" t="s">
        <v>11802</v>
      </c>
      <c r="BK774" t="s">
        <v>98</v>
      </c>
      <c r="BL774" t="s">
        <v>1130</v>
      </c>
      <c r="BM774" t="s">
        <v>11803</v>
      </c>
      <c r="BN774" t="s">
        <v>74</v>
      </c>
      <c r="BO774" t="s">
        <v>74</v>
      </c>
      <c r="BP774" t="s">
        <v>74</v>
      </c>
      <c r="BQ774" t="s">
        <v>74</v>
      </c>
      <c r="BR774" t="s">
        <v>101</v>
      </c>
      <c r="BS774" t="s">
        <v>11804</v>
      </c>
      <c r="BT774" t="str">
        <f>HYPERLINK("https%3A%2F%2Fwww.webofscience.com%2Fwos%2Fwoscc%2Ffull-record%2FWOS:000232753500011","View Full Record in Web of Science")</f>
        <v>View Full Record in Web of Science</v>
      </c>
    </row>
    <row r="775" spans="1:72" x14ac:dyDescent="0.15">
      <c r="A775" t="s">
        <v>72</v>
      </c>
      <c r="B775" t="s">
        <v>11805</v>
      </c>
      <c r="C775" t="s">
        <v>74</v>
      </c>
      <c r="D775" t="s">
        <v>74</v>
      </c>
      <c r="E775" t="s">
        <v>74</v>
      </c>
      <c r="F775" t="s">
        <v>11805</v>
      </c>
      <c r="G775" t="s">
        <v>74</v>
      </c>
      <c r="H775" t="s">
        <v>74</v>
      </c>
      <c r="I775" t="s">
        <v>11806</v>
      </c>
      <c r="J775" t="s">
        <v>3738</v>
      </c>
      <c r="K775" t="s">
        <v>74</v>
      </c>
      <c r="L775" t="s">
        <v>74</v>
      </c>
      <c r="M775" t="s">
        <v>77</v>
      </c>
      <c r="N775" t="s">
        <v>78</v>
      </c>
      <c r="O775" t="s">
        <v>74</v>
      </c>
      <c r="P775" t="s">
        <v>74</v>
      </c>
      <c r="Q775" t="s">
        <v>74</v>
      </c>
      <c r="R775" t="s">
        <v>74</v>
      </c>
      <c r="S775" t="s">
        <v>74</v>
      </c>
      <c r="T775" t="s">
        <v>74</v>
      </c>
      <c r="U775" t="s">
        <v>11807</v>
      </c>
      <c r="V775" t="s">
        <v>11808</v>
      </c>
      <c r="W775" t="s">
        <v>11809</v>
      </c>
      <c r="X775" t="s">
        <v>11810</v>
      </c>
      <c r="Y775" t="s">
        <v>11811</v>
      </c>
      <c r="Z775" t="s">
        <v>74</v>
      </c>
      <c r="AA775" t="s">
        <v>11812</v>
      </c>
      <c r="AB775" t="s">
        <v>11813</v>
      </c>
      <c r="AC775" t="s">
        <v>74</v>
      </c>
      <c r="AD775" t="s">
        <v>74</v>
      </c>
      <c r="AE775" t="s">
        <v>74</v>
      </c>
      <c r="AF775" t="s">
        <v>74</v>
      </c>
      <c r="AG775">
        <v>21</v>
      </c>
      <c r="AH775">
        <v>1</v>
      </c>
      <c r="AI775">
        <v>1</v>
      </c>
      <c r="AJ775">
        <v>0</v>
      </c>
      <c r="AK775">
        <v>0</v>
      </c>
      <c r="AL775" t="s">
        <v>11447</v>
      </c>
      <c r="AM775" t="s">
        <v>11448</v>
      </c>
      <c r="AN775" t="s">
        <v>11449</v>
      </c>
      <c r="AO775" t="s">
        <v>3745</v>
      </c>
      <c r="AP775" t="s">
        <v>74</v>
      </c>
      <c r="AQ775" t="s">
        <v>74</v>
      </c>
      <c r="AR775" t="s">
        <v>3747</v>
      </c>
      <c r="AS775" t="s">
        <v>3748</v>
      </c>
      <c r="AT775" t="s">
        <v>11436</v>
      </c>
      <c r="AU775">
        <v>2005</v>
      </c>
      <c r="AV775">
        <v>45</v>
      </c>
      <c r="AW775">
        <v>5</v>
      </c>
      <c r="AX775" t="s">
        <v>74</v>
      </c>
      <c r="AY775" t="s">
        <v>74</v>
      </c>
      <c r="AZ775" t="s">
        <v>74</v>
      </c>
      <c r="BA775" t="s">
        <v>74</v>
      </c>
      <c r="BB775">
        <v>617</v>
      </c>
      <c r="BC775">
        <v>630</v>
      </c>
      <c r="BD775" t="s">
        <v>74</v>
      </c>
      <c r="BE775" t="s">
        <v>74</v>
      </c>
      <c r="BF775" t="s">
        <v>74</v>
      </c>
      <c r="BG775" t="s">
        <v>74</v>
      </c>
      <c r="BH775" t="s">
        <v>74</v>
      </c>
      <c r="BI775">
        <v>14</v>
      </c>
      <c r="BJ775" t="s">
        <v>629</v>
      </c>
      <c r="BK775" t="s">
        <v>98</v>
      </c>
      <c r="BL775" t="s">
        <v>629</v>
      </c>
      <c r="BM775" t="s">
        <v>11814</v>
      </c>
      <c r="BN775" t="s">
        <v>74</v>
      </c>
      <c r="BO775" t="s">
        <v>74</v>
      </c>
      <c r="BP775" t="s">
        <v>74</v>
      </c>
      <c r="BQ775" t="s">
        <v>74</v>
      </c>
      <c r="BR775" t="s">
        <v>101</v>
      </c>
      <c r="BS775" t="s">
        <v>11815</v>
      </c>
      <c r="BT775" t="str">
        <f>HYPERLINK("https%3A%2F%2Fwww.webofscience.com%2Fwos%2Fwoscc%2Ffull-record%2FWOS:000232817800002","View Full Record in Web of Science")</f>
        <v>View Full Record in Web of Science</v>
      </c>
    </row>
    <row r="776" spans="1:72" x14ac:dyDescent="0.15">
      <c r="A776" t="s">
        <v>72</v>
      </c>
      <c r="B776" t="s">
        <v>11816</v>
      </c>
      <c r="C776" t="s">
        <v>74</v>
      </c>
      <c r="D776" t="s">
        <v>74</v>
      </c>
      <c r="E776" t="s">
        <v>74</v>
      </c>
      <c r="F776" t="s">
        <v>11816</v>
      </c>
      <c r="G776" t="s">
        <v>74</v>
      </c>
      <c r="H776" t="s">
        <v>74</v>
      </c>
      <c r="I776" t="s">
        <v>11817</v>
      </c>
      <c r="J776" t="s">
        <v>11818</v>
      </c>
      <c r="K776" t="s">
        <v>74</v>
      </c>
      <c r="L776" t="s">
        <v>74</v>
      </c>
      <c r="M776" t="s">
        <v>77</v>
      </c>
      <c r="N776" t="s">
        <v>78</v>
      </c>
      <c r="O776" t="s">
        <v>74</v>
      </c>
      <c r="P776" t="s">
        <v>74</v>
      </c>
      <c r="Q776" t="s">
        <v>74</v>
      </c>
      <c r="R776" t="s">
        <v>74</v>
      </c>
      <c r="S776" t="s">
        <v>74</v>
      </c>
      <c r="T776" t="s">
        <v>11819</v>
      </c>
      <c r="U776" t="s">
        <v>11820</v>
      </c>
      <c r="V776" t="s">
        <v>11821</v>
      </c>
      <c r="W776" t="s">
        <v>11822</v>
      </c>
      <c r="X776" t="s">
        <v>11823</v>
      </c>
      <c r="Y776" t="s">
        <v>11824</v>
      </c>
      <c r="Z776" t="s">
        <v>11825</v>
      </c>
      <c r="AA776" t="s">
        <v>74</v>
      </c>
      <c r="AB776" t="s">
        <v>11826</v>
      </c>
      <c r="AC776" t="s">
        <v>74</v>
      </c>
      <c r="AD776" t="s">
        <v>74</v>
      </c>
      <c r="AE776" t="s">
        <v>74</v>
      </c>
      <c r="AF776" t="s">
        <v>74</v>
      </c>
      <c r="AG776">
        <v>55</v>
      </c>
      <c r="AH776">
        <v>12</v>
      </c>
      <c r="AI776">
        <v>13</v>
      </c>
      <c r="AJ776">
        <v>0</v>
      </c>
      <c r="AK776">
        <v>5</v>
      </c>
      <c r="AL776" t="s">
        <v>1873</v>
      </c>
      <c r="AM776" t="s">
        <v>140</v>
      </c>
      <c r="AN776" t="s">
        <v>1874</v>
      </c>
      <c r="AO776" t="s">
        <v>11827</v>
      </c>
      <c r="AP776" t="s">
        <v>74</v>
      </c>
      <c r="AQ776" t="s">
        <v>74</v>
      </c>
      <c r="AR776" t="s">
        <v>11818</v>
      </c>
      <c r="AS776" t="s">
        <v>487</v>
      </c>
      <c r="AT776" t="s">
        <v>10970</v>
      </c>
      <c r="AU776">
        <v>2005</v>
      </c>
      <c r="AV776">
        <v>48</v>
      </c>
      <c r="AW776" t="s">
        <v>74</v>
      </c>
      <c r="AX776">
        <v>5</v>
      </c>
      <c r="AY776" t="s">
        <v>74</v>
      </c>
      <c r="AZ776" t="s">
        <v>74</v>
      </c>
      <c r="BA776" t="s">
        <v>74</v>
      </c>
      <c r="BB776">
        <v>1021</v>
      </c>
      <c r="BC776">
        <v>1039</v>
      </c>
      <c r="BD776" t="s">
        <v>74</v>
      </c>
      <c r="BE776" t="s">
        <v>11828</v>
      </c>
      <c r="BF776" t="str">
        <f>HYPERLINK("http://dx.doi.org/10.1111/j.1475-4983.2005.00490.x","http://dx.doi.org/10.1111/j.1475-4983.2005.00490.x")</f>
        <v>http://dx.doi.org/10.1111/j.1475-4983.2005.00490.x</v>
      </c>
      <c r="BG776" t="s">
        <v>74</v>
      </c>
      <c r="BH776" t="s">
        <v>74</v>
      </c>
      <c r="BI776">
        <v>19</v>
      </c>
      <c r="BJ776" t="s">
        <v>487</v>
      </c>
      <c r="BK776" t="s">
        <v>98</v>
      </c>
      <c r="BL776" t="s">
        <v>487</v>
      </c>
      <c r="BM776" t="s">
        <v>11829</v>
      </c>
      <c r="BN776" t="s">
        <v>74</v>
      </c>
      <c r="BO776" t="s">
        <v>1900</v>
      </c>
      <c r="BP776" t="s">
        <v>74</v>
      </c>
      <c r="BQ776" t="s">
        <v>74</v>
      </c>
      <c r="BR776" t="s">
        <v>101</v>
      </c>
      <c r="BS776" t="s">
        <v>11830</v>
      </c>
      <c r="BT776" t="str">
        <f>HYPERLINK("https%3A%2F%2Fwww.webofscience.com%2Fwos%2Fwoscc%2Ffull-record%2FWOS:000231865500006","View Full Record in Web of Science")</f>
        <v>View Full Record in Web of Science</v>
      </c>
    </row>
    <row r="777" spans="1:72" x14ac:dyDescent="0.15">
      <c r="A777" t="s">
        <v>72</v>
      </c>
      <c r="B777" t="s">
        <v>11831</v>
      </c>
      <c r="C777" t="s">
        <v>74</v>
      </c>
      <c r="D777" t="s">
        <v>74</v>
      </c>
      <c r="E777" t="s">
        <v>74</v>
      </c>
      <c r="F777" t="s">
        <v>11831</v>
      </c>
      <c r="G777" t="s">
        <v>74</v>
      </c>
      <c r="H777" t="s">
        <v>74</v>
      </c>
      <c r="I777" t="s">
        <v>11832</v>
      </c>
      <c r="J777" t="s">
        <v>11833</v>
      </c>
      <c r="K777" t="s">
        <v>74</v>
      </c>
      <c r="L777" t="s">
        <v>74</v>
      </c>
      <c r="M777" t="s">
        <v>77</v>
      </c>
      <c r="N777" t="s">
        <v>335</v>
      </c>
      <c r="O777" t="s">
        <v>11834</v>
      </c>
      <c r="P777" t="s">
        <v>11835</v>
      </c>
      <c r="Q777" t="s">
        <v>11836</v>
      </c>
      <c r="R777" t="s">
        <v>74</v>
      </c>
      <c r="S777" t="s">
        <v>74</v>
      </c>
      <c r="T777" t="s">
        <v>74</v>
      </c>
      <c r="U777" t="s">
        <v>11837</v>
      </c>
      <c r="V777" t="s">
        <v>11838</v>
      </c>
      <c r="W777" t="s">
        <v>11839</v>
      </c>
      <c r="X777" t="s">
        <v>11840</v>
      </c>
      <c r="Y777" t="s">
        <v>11841</v>
      </c>
      <c r="Z777" t="s">
        <v>11842</v>
      </c>
      <c r="AA777" t="s">
        <v>11843</v>
      </c>
      <c r="AB777" t="s">
        <v>11844</v>
      </c>
      <c r="AC777" t="s">
        <v>74</v>
      </c>
      <c r="AD777" t="s">
        <v>74</v>
      </c>
      <c r="AE777" t="s">
        <v>74</v>
      </c>
      <c r="AF777" t="s">
        <v>74</v>
      </c>
      <c r="AG777">
        <v>50</v>
      </c>
      <c r="AH777">
        <v>78</v>
      </c>
      <c r="AI777">
        <v>94</v>
      </c>
      <c r="AJ777">
        <v>0</v>
      </c>
      <c r="AK777">
        <v>13</v>
      </c>
      <c r="AL777" t="s">
        <v>2025</v>
      </c>
      <c r="AM777" t="s">
        <v>2026</v>
      </c>
      <c r="AN777" t="s">
        <v>2027</v>
      </c>
      <c r="AO777" t="s">
        <v>11845</v>
      </c>
      <c r="AP777" t="s">
        <v>11846</v>
      </c>
      <c r="AQ777" t="s">
        <v>74</v>
      </c>
      <c r="AR777" t="s">
        <v>11847</v>
      </c>
      <c r="AS777" t="s">
        <v>11848</v>
      </c>
      <c r="AT777" t="s">
        <v>11436</v>
      </c>
      <c r="AU777">
        <v>2005</v>
      </c>
      <c r="AV777">
        <v>81</v>
      </c>
      <c r="AW777">
        <v>5</v>
      </c>
      <c r="AX777" t="s">
        <v>74</v>
      </c>
      <c r="AY777" t="s">
        <v>74</v>
      </c>
      <c r="AZ777" t="s">
        <v>74</v>
      </c>
      <c r="BA777" t="s">
        <v>74</v>
      </c>
      <c r="BB777">
        <v>1086</v>
      </c>
      <c r="BC777">
        <v>1093</v>
      </c>
      <c r="BD777" t="s">
        <v>74</v>
      </c>
      <c r="BE777" t="s">
        <v>11849</v>
      </c>
      <c r="BF777" t="str">
        <f>HYPERLINK("http://dx.doi.org/10.1562/2004-09-18-RA-321","http://dx.doi.org/10.1562/2004-09-18-RA-321")</f>
        <v>http://dx.doi.org/10.1562/2004-09-18-RA-321</v>
      </c>
      <c r="BG777" t="s">
        <v>74</v>
      </c>
      <c r="BH777" t="s">
        <v>74</v>
      </c>
      <c r="BI777">
        <v>8</v>
      </c>
      <c r="BJ777" t="s">
        <v>11850</v>
      </c>
      <c r="BK777" t="s">
        <v>1411</v>
      </c>
      <c r="BL777" t="s">
        <v>11850</v>
      </c>
      <c r="BM777" t="s">
        <v>11851</v>
      </c>
      <c r="BN777">
        <v>15689180</v>
      </c>
      <c r="BO777" t="s">
        <v>74</v>
      </c>
      <c r="BP777" t="s">
        <v>74</v>
      </c>
      <c r="BQ777" t="s">
        <v>74</v>
      </c>
      <c r="BR777" t="s">
        <v>101</v>
      </c>
      <c r="BS777" t="s">
        <v>11852</v>
      </c>
      <c r="BT777" t="str">
        <f>HYPERLINK("https%3A%2F%2Fwww.webofscience.com%2Fwos%2Fwoscc%2Ffull-record%2FWOS:000232639200009","View Full Record in Web of Science")</f>
        <v>View Full Record in Web of Science</v>
      </c>
    </row>
    <row r="778" spans="1:72" x14ac:dyDescent="0.15">
      <c r="A778" t="s">
        <v>72</v>
      </c>
      <c r="B778" t="s">
        <v>11853</v>
      </c>
      <c r="C778" t="s">
        <v>74</v>
      </c>
      <c r="D778" t="s">
        <v>74</v>
      </c>
      <c r="E778" t="s">
        <v>74</v>
      </c>
      <c r="F778" t="s">
        <v>11853</v>
      </c>
      <c r="G778" t="s">
        <v>74</v>
      </c>
      <c r="H778" t="s">
        <v>74</v>
      </c>
      <c r="I778" t="s">
        <v>11854</v>
      </c>
      <c r="J778" t="s">
        <v>11855</v>
      </c>
      <c r="K778" t="s">
        <v>74</v>
      </c>
      <c r="L778" t="s">
        <v>74</v>
      </c>
      <c r="M778" t="s">
        <v>77</v>
      </c>
      <c r="N778" t="s">
        <v>78</v>
      </c>
      <c r="O778" t="s">
        <v>74</v>
      </c>
      <c r="P778" t="s">
        <v>74</v>
      </c>
      <c r="Q778" t="s">
        <v>74</v>
      </c>
      <c r="R778" t="s">
        <v>74</v>
      </c>
      <c r="S778" t="s">
        <v>74</v>
      </c>
      <c r="T778" t="s">
        <v>11856</v>
      </c>
      <c r="U778" t="s">
        <v>11857</v>
      </c>
      <c r="V778" t="s">
        <v>11858</v>
      </c>
      <c r="W778" t="s">
        <v>9089</v>
      </c>
      <c r="X778" t="s">
        <v>426</v>
      </c>
      <c r="Y778" t="s">
        <v>11859</v>
      </c>
      <c r="Z778" t="s">
        <v>11860</v>
      </c>
      <c r="AA778" t="s">
        <v>11861</v>
      </c>
      <c r="AB778" t="s">
        <v>11862</v>
      </c>
      <c r="AC778" t="s">
        <v>74</v>
      </c>
      <c r="AD778" t="s">
        <v>74</v>
      </c>
      <c r="AE778" t="s">
        <v>74</v>
      </c>
      <c r="AF778" t="s">
        <v>74</v>
      </c>
      <c r="AG778">
        <v>37</v>
      </c>
      <c r="AH778">
        <v>75</v>
      </c>
      <c r="AI778">
        <v>86</v>
      </c>
      <c r="AJ778">
        <v>0</v>
      </c>
      <c r="AK778">
        <v>51</v>
      </c>
      <c r="AL778" t="s">
        <v>88</v>
      </c>
      <c r="AM778" t="s">
        <v>162</v>
      </c>
      <c r="AN778" t="s">
        <v>163</v>
      </c>
      <c r="AO778" t="s">
        <v>11863</v>
      </c>
      <c r="AP778" t="s">
        <v>74</v>
      </c>
      <c r="AQ778" t="s">
        <v>74</v>
      </c>
      <c r="AR778" t="s">
        <v>11864</v>
      </c>
      <c r="AS778" t="s">
        <v>11865</v>
      </c>
      <c r="AT778" t="s">
        <v>10970</v>
      </c>
      <c r="AU778">
        <v>2005</v>
      </c>
      <c r="AV778">
        <v>85</v>
      </c>
      <c r="AW778">
        <v>3</v>
      </c>
      <c r="AX778" t="s">
        <v>74</v>
      </c>
      <c r="AY778" t="s">
        <v>74</v>
      </c>
      <c r="AZ778" t="s">
        <v>74</v>
      </c>
      <c r="BA778" t="s">
        <v>74</v>
      </c>
      <c r="BB778">
        <v>307</v>
      </c>
      <c r="BC778">
        <v>317</v>
      </c>
      <c r="BD778" t="s">
        <v>74</v>
      </c>
      <c r="BE778" t="s">
        <v>11866</v>
      </c>
      <c r="BF778" t="str">
        <f>HYPERLINK("http://dx.doi.org/10.1007/s11120-005-5668-9","http://dx.doi.org/10.1007/s11120-005-5668-9")</f>
        <v>http://dx.doi.org/10.1007/s11120-005-5668-9</v>
      </c>
      <c r="BG778" t="s">
        <v>74</v>
      </c>
      <c r="BH778" t="s">
        <v>74</v>
      </c>
      <c r="BI778">
        <v>11</v>
      </c>
      <c r="BJ778" t="s">
        <v>574</v>
      </c>
      <c r="BK778" t="s">
        <v>98</v>
      </c>
      <c r="BL778" t="s">
        <v>574</v>
      </c>
      <c r="BM778" t="s">
        <v>11867</v>
      </c>
      <c r="BN778">
        <v>16170633</v>
      </c>
      <c r="BO778" t="s">
        <v>74</v>
      </c>
      <c r="BP778" t="s">
        <v>74</v>
      </c>
      <c r="BQ778" t="s">
        <v>74</v>
      </c>
      <c r="BR778" t="s">
        <v>101</v>
      </c>
      <c r="BS778" t="s">
        <v>11868</v>
      </c>
      <c r="BT778" t="str">
        <f>HYPERLINK("https%3A%2F%2Fwww.webofscience.com%2Fwos%2Fwoscc%2Ffull-record%2FWOS:000231949800004","View Full Record in Web of Science")</f>
        <v>View Full Record in Web of Science</v>
      </c>
    </row>
    <row r="779" spans="1:72" x14ac:dyDescent="0.15">
      <c r="A779" t="s">
        <v>72</v>
      </c>
      <c r="B779" t="s">
        <v>11869</v>
      </c>
      <c r="C779" t="s">
        <v>74</v>
      </c>
      <c r="D779" t="s">
        <v>74</v>
      </c>
      <c r="E779" t="s">
        <v>74</v>
      </c>
      <c r="F779" t="s">
        <v>11869</v>
      </c>
      <c r="G779" t="s">
        <v>74</v>
      </c>
      <c r="H779" t="s">
        <v>74</v>
      </c>
      <c r="I779" t="s">
        <v>11870</v>
      </c>
      <c r="J779" t="s">
        <v>4400</v>
      </c>
      <c r="K779" t="s">
        <v>74</v>
      </c>
      <c r="L779" t="s">
        <v>74</v>
      </c>
      <c r="M779" t="s">
        <v>77</v>
      </c>
      <c r="N779" t="s">
        <v>78</v>
      </c>
      <c r="O779" t="s">
        <v>74</v>
      </c>
      <c r="P779" t="s">
        <v>74</v>
      </c>
      <c r="Q779" t="s">
        <v>74</v>
      </c>
      <c r="R779" t="s">
        <v>74</v>
      </c>
      <c r="S779" t="s">
        <v>74</v>
      </c>
      <c r="T779" t="s">
        <v>11871</v>
      </c>
      <c r="U779" t="s">
        <v>11872</v>
      </c>
      <c r="V779" t="s">
        <v>11873</v>
      </c>
      <c r="W779" t="s">
        <v>11874</v>
      </c>
      <c r="X779" t="s">
        <v>11875</v>
      </c>
      <c r="Y779" t="s">
        <v>11876</v>
      </c>
      <c r="Z779" t="s">
        <v>11877</v>
      </c>
      <c r="AA779" t="s">
        <v>11878</v>
      </c>
      <c r="AB779" t="s">
        <v>11879</v>
      </c>
      <c r="AC779" t="s">
        <v>74</v>
      </c>
      <c r="AD779" t="s">
        <v>74</v>
      </c>
      <c r="AE779" t="s">
        <v>74</v>
      </c>
      <c r="AF779" t="s">
        <v>74</v>
      </c>
      <c r="AG779">
        <v>63</v>
      </c>
      <c r="AH779">
        <v>53</v>
      </c>
      <c r="AI779">
        <v>55</v>
      </c>
      <c r="AJ779">
        <v>0</v>
      </c>
      <c r="AK779">
        <v>16</v>
      </c>
      <c r="AL779" t="s">
        <v>2239</v>
      </c>
      <c r="AM779" t="s">
        <v>89</v>
      </c>
      <c r="AN779" t="s">
        <v>4047</v>
      </c>
      <c r="AO779" t="s">
        <v>4412</v>
      </c>
      <c r="AP779" t="s">
        <v>9181</v>
      </c>
      <c r="AQ779" t="s">
        <v>74</v>
      </c>
      <c r="AR779" t="s">
        <v>4413</v>
      </c>
      <c r="AS779" t="s">
        <v>4414</v>
      </c>
      <c r="AT779" t="s">
        <v>10970</v>
      </c>
      <c r="AU779">
        <v>2005</v>
      </c>
      <c r="AV779">
        <v>64</v>
      </c>
      <c r="AW779">
        <v>2</v>
      </c>
      <c r="AX779" t="s">
        <v>74</v>
      </c>
      <c r="AY779" t="s">
        <v>74</v>
      </c>
      <c r="AZ779" t="s">
        <v>74</v>
      </c>
      <c r="BA779" t="s">
        <v>74</v>
      </c>
      <c r="BB779">
        <v>125</v>
      </c>
      <c r="BC779">
        <v>137</v>
      </c>
      <c r="BD779" t="s">
        <v>74</v>
      </c>
      <c r="BE779" t="s">
        <v>11880</v>
      </c>
      <c r="BF779" t="str">
        <f>HYPERLINK("http://dx.doi.org/10.1016/j.yqres.2005.05.009","http://dx.doi.org/10.1016/j.yqres.2005.05.009")</f>
        <v>http://dx.doi.org/10.1016/j.yqres.2005.05.009</v>
      </c>
      <c r="BG779" t="s">
        <v>74</v>
      </c>
      <c r="BH779" t="s">
        <v>74</v>
      </c>
      <c r="BI779">
        <v>13</v>
      </c>
      <c r="BJ779" t="s">
        <v>2246</v>
      </c>
      <c r="BK779" t="s">
        <v>98</v>
      </c>
      <c r="BL779" t="s">
        <v>1531</v>
      </c>
      <c r="BM779" t="s">
        <v>11881</v>
      </c>
      <c r="BN779" t="s">
        <v>74</v>
      </c>
      <c r="BO779" t="s">
        <v>74</v>
      </c>
      <c r="BP779" t="s">
        <v>74</v>
      </c>
      <c r="BQ779" t="s">
        <v>74</v>
      </c>
      <c r="BR779" t="s">
        <v>101</v>
      </c>
      <c r="BS779" t="s">
        <v>11882</v>
      </c>
      <c r="BT779" t="str">
        <f>HYPERLINK("https%3A%2F%2Fwww.webofscience.com%2Fwos%2Fwoscc%2Ffull-record%2FWOS:000231831800002","View Full Record in Web of Science")</f>
        <v>View Full Record in Web of Science</v>
      </c>
    </row>
    <row r="780" spans="1:72" x14ac:dyDescent="0.15">
      <c r="A780" t="s">
        <v>72</v>
      </c>
      <c r="B780" t="s">
        <v>11883</v>
      </c>
      <c r="C780" t="s">
        <v>74</v>
      </c>
      <c r="D780" t="s">
        <v>74</v>
      </c>
      <c r="E780" t="s">
        <v>74</v>
      </c>
      <c r="F780" t="s">
        <v>11883</v>
      </c>
      <c r="G780" t="s">
        <v>74</v>
      </c>
      <c r="H780" t="s">
        <v>74</v>
      </c>
      <c r="I780" t="s">
        <v>11884</v>
      </c>
      <c r="J780" t="s">
        <v>4420</v>
      </c>
      <c r="K780" t="s">
        <v>74</v>
      </c>
      <c r="L780" t="s">
        <v>74</v>
      </c>
      <c r="M780" t="s">
        <v>77</v>
      </c>
      <c r="N780" t="s">
        <v>78</v>
      </c>
      <c r="O780" t="s">
        <v>74</v>
      </c>
      <c r="P780" t="s">
        <v>74</v>
      </c>
      <c r="Q780" t="s">
        <v>74</v>
      </c>
      <c r="R780" t="s">
        <v>74</v>
      </c>
      <c r="S780" t="s">
        <v>74</v>
      </c>
      <c r="T780" t="s">
        <v>74</v>
      </c>
      <c r="U780" t="s">
        <v>11885</v>
      </c>
      <c r="V780" t="s">
        <v>11886</v>
      </c>
      <c r="W780" t="s">
        <v>11887</v>
      </c>
      <c r="X780" t="s">
        <v>11888</v>
      </c>
      <c r="Y780" t="s">
        <v>11889</v>
      </c>
      <c r="Z780" t="s">
        <v>11890</v>
      </c>
      <c r="AA780" t="s">
        <v>11891</v>
      </c>
      <c r="AB780" t="s">
        <v>11892</v>
      </c>
      <c r="AC780" t="s">
        <v>74</v>
      </c>
      <c r="AD780" t="s">
        <v>74</v>
      </c>
      <c r="AE780" t="s">
        <v>74</v>
      </c>
      <c r="AF780" t="s">
        <v>74</v>
      </c>
      <c r="AG780">
        <v>71</v>
      </c>
      <c r="AH780">
        <v>8</v>
      </c>
      <c r="AI780">
        <v>10</v>
      </c>
      <c r="AJ780">
        <v>0</v>
      </c>
      <c r="AK780">
        <v>7</v>
      </c>
      <c r="AL780" t="s">
        <v>622</v>
      </c>
      <c r="AM780" t="s">
        <v>140</v>
      </c>
      <c r="AN780" t="s">
        <v>623</v>
      </c>
      <c r="AO780" t="s">
        <v>4429</v>
      </c>
      <c r="AP780" t="s">
        <v>74</v>
      </c>
      <c r="AQ780" t="s">
        <v>74</v>
      </c>
      <c r="AR780" t="s">
        <v>4430</v>
      </c>
      <c r="AS780" t="s">
        <v>4431</v>
      </c>
      <c r="AT780" t="s">
        <v>10970</v>
      </c>
      <c r="AU780">
        <v>2005</v>
      </c>
      <c r="AV780">
        <v>24</v>
      </c>
      <c r="AW780" t="s">
        <v>11893</v>
      </c>
      <c r="AX780" t="s">
        <v>74</v>
      </c>
      <c r="AY780" t="s">
        <v>74</v>
      </c>
      <c r="AZ780" t="s">
        <v>74</v>
      </c>
      <c r="BA780" t="s">
        <v>74</v>
      </c>
      <c r="BB780">
        <v>1809</v>
      </c>
      <c r="BC780">
        <v>1820</v>
      </c>
      <c r="BD780" t="s">
        <v>74</v>
      </c>
      <c r="BE780" t="s">
        <v>11894</v>
      </c>
      <c r="BF780" t="str">
        <f>HYPERLINK("http://dx.doi.org/10.1016/j.quascirev.2005.04.005","http://dx.doi.org/10.1016/j.quascirev.2005.04.005")</f>
        <v>http://dx.doi.org/10.1016/j.quascirev.2005.04.005</v>
      </c>
      <c r="BG780" t="s">
        <v>74</v>
      </c>
      <c r="BH780" t="s">
        <v>74</v>
      </c>
      <c r="BI780">
        <v>12</v>
      </c>
      <c r="BJ780" t="s">
        <v>2246</v>
      </c>
      <c r="BK780" t="s">
        <v>98</v>
      </c>
      <c r="BL780" t="s">
        <v>1531</v>
      </c>
      <c r="BM780" t="s">
        <v>11895</v>
      </c>
      <c r="BN780" t="s">
        <v>74</v>
      </c>
      <c r="BO780" t="s">
        <v>74</v>
      </c>
      <c r="BP780" t="s">
        <v>74</v>
      </c>
      <c r="BQ780" t="s">
        <v>74</v>
      </c>
      <c r="BR780" t="s">
        <v>101</v>
      </c>
      <c r="BS780" t="s">
        <v>11896</v>
      </c>
      <c r="BT780" t="str">
        <f>HYPERLINK("https%3A%2F%2Fwww.webofscience.com%2Fwos%2Fwoscc%2Ffull-record%2FWOS:000231044100005","View Full Record in Web of Science")</f>
        <v>View Full Record in Web of Science</v>
      </c>
    </row>
    <row r="781" spans="1:72" x14ac:dyDescent="0.15">
      <c r="A781" t="s">
        <v>72</v>
      </c>
      <c r="B781" t="s">
        <v>11897</v>
      </c>
      <c r="C781" t="s">
        <v>74</v>
      </c>
      <c r="D781" t="s">
        <v>74</v>
      </c>
      <c r="E781" t="s">
        <v>74</v>
      </c>
      <c r="F781" t="s">
        <v>11897</v>
      </c>
      <c r="G781" t="s">
        <v>74</v>
      </c>
      <c r="H781" t="s">
        <v>74</v>
      </c>
      <c r="I781" t="s">
        <v>11898</v>
      </c>
      <c r="J781" t="s">
        <v>4420</v>
      </c>
      <c r="K781" t="s">
        <v>74</v>
      </c>
      <c r="L781" t="s">
        <v>74</v>
      </c>
      <c r="M781" t="s">
        <v>77</v>
      </c>
      <c r="N781" t="s">
        <v>78</v>
      </c>
      <c r="O781" t="s">
        <v>74</v>
      </c>
      <c r="P781" t="s">
        <v>74</v>
      </c>
      <c r="Q781" t="s">
        <v>74</v>
      </c>
      <c r="R781" t="s">
        <v>74</v>
      </c>
      <c r="S781" t="s">
        <v>74</v>
      </c>
      <c r="T781" t="s">
        <v>74</v>
      </c>
      <c r="U781" t="s">
        <v>11899</v>
      </c>
      <c r="V781" t="s">
        <v>11900</v>
      </c>
      <c r="W781" t="s">
        <v>11901</v>
      </c>
      <c r="X781" t="s">
        <v>11902</v>
      </c>
      <c r="Y781" t="s">
        <v>11903</v>
      </c>
      <c r="Z781" t="s">
        <v>11904</v>
      </c>
      <c r="AA781" t="s">
        <v>74</v>
      </c>
      <c r="AB781" t="s">
        <v>74</v>
      </c>
      <c r="AC781" t="s">
        <v>74</v>
      </c>
      <c r="AD781" t="s">
        <v>74</v>
      </c>
      <c r="AE781" t="s">
        <v>74</v>
      </c>
      <c r="AF781" t="s">
        <v>74</v>
      </c>
      <c r="AG781">
        <v>60</v>
      </c>
      <c r="AH781">
        <v>95</v>
      </c>
      <c r="AI781">
        <v>99</v>
      </c>
      <c r="AJ781">
        <v>0</v>
      </c>
      <c r="AK781">
        <v>19</v>
      </c>
      <c r="AL781" t="s">
        <v>622</v>
      </c>
      <c r="AM781" t="s">
        <v>140</v>
      </c>
      <c r="AN781" t="s">
        <v>623</v>
      </c>
      <c r="AO781" t="s">
        <v>4429</v>
      </c>
      <c r="AP781" t="s">
        <v>74</v>
      </c>
      <c r="AQ781" t="s">
        <v>74</v>
      </c>
      <c r="AR781" t="s">
        <v>4430</v>
      </c>
      <c r="AS781" t="s">
        <v>4431</v>
      </c>
      <c r="AT781" t="s">
        <v>10970</v>
      </c>
      <c r="AU781">
        <v>2005</v>
      </c>
      <c r="AV781">
        <v>24</v>
      </c>
      <c r="AW781" t="s">
        <v>11893</v>
      </c>
      <c r="AX781" t="s">
        <v>74</v>
      </c>
      <c r="AY781" t="s">
        <v>74</v>
      </c>
      <c r="AZ781" t="s">
        <v>74</v>
      </c>
      <c r="BA781" t="s">
        <v>74</v>
      </c>
      <c r="BB781">
        <v>1923</v>
      </c>
      <c r="BC781">
        <v>1940</v>
      </c>
      <c r="BD781" t="s">
        <v>74</v>
      </c>
      <c r="BE781" t="s">
        <v>11905</v>
      </c>
      <c r="BF781" t="str">
        <f>HYPERLINK("http://dx.doi.org/10.1016/j.quascirev.2004.11.007","http://dx.doi.org/10.1016/j.quascirev.2004.11.007")</f>
        <v>http://dx.doi.org/10.1016/j.quascirev.2004.11.007</v>
      </c>
      <c r="BG781" t="s">
        <v>74</v>
      </c>
      <c r="BH781" t="s">
        <v>74</v>
      </c>
      <c r="BI781">
        <v>16</v>
      </c>
      <c r="BJ781" t="s">
        <v>2246</v>
      </c>
      <c r="BK781" t="s">
        <v>98</v>
      </c>
      <c r="BL781" t="s">
        <v>1531</v>
      </c>
      <c r="BM781" t="s">
        <v>11895</v>
      </c>
      <c r="BN781" t="s">
        <v>74</v>
      </c>
      <c r="BO781" t="s">
        <v>74</v>
      </c>
      <c r="BP781" t="s">
        <v>74</v>
      </c>
      <c r="BQ781" t="s">
        <v>74</v>
      </c>
      <c r="BR781" t="s">
        <v>101</v>
      </c>
      <c r="BS781" t="s">
        <v>11906</v>
      </c>
      <c r="BT781" t="str">
        <f>HYPERLINK("https%3A%2F%2Fwww.webofscience.com%2Fwos%2Fwoscc%2Ffull-record%2FWOS:000231044100013","View Full Record in Web of Science")</f>
        <v>View Full Record in Web of Science</v>
      </c>
    </row>
    <row r="782" spans="1:72" x14ac:dyDescent="0.15">
      <c r="A782" t="s">
        <v>72</v>
      </c>
      <c r="B782" t="s">
        <v>11907</v>
      </c>
      <c r="C782" t="s">
        <v>74</v>
      </c>
      <c r="D782" t="s">
        <v>74</v>
      </c>
      <c r="E782" t="s">
        <v>74</v>
      </c>
      <c r="F782" t="s">
        <v>11907</v>
      </c>
      <c r="G782" t="s">
        <v>74</v>
      </c>
      <c r="H782" t="s">
        <v>74</v>
      </c>
      <c r="I782" t="s">
        <v>11908</v>
      </c>
      <c r="J782" t="s">
        <v>11909</v>
      </c>
      <c r="K782" t="s">
        <v>74</v>
      </c>
      <c r="L782" t="s">
        <v>74</v>
      </c>
      <c r="M782" t="s">
        <v>11910</v>
      </c>
      <c r="N782" t="s">
        <v>78</v>
      </c>
      <c r="O782" t="s">
        <v>74</v>
      </c>
      <c r="P782" t="s">
        <v>74</v>
      </c>
      <c r="Q782" t="s">
        <v>74</v>
      </c>
      <c r="R782" t="s">
        <v>74</v>
      </c>
      <c r="S782" t="s">
        <v>74</v>
      </c>
      <c r="T782" t="s">
        <v>11911</v>
      </c>
      <c r="U782" t="s">
        <v>11912</v>
      </c>
      <c r="V782" t="s">
        <v>11913</v>
      </c>
      <c r="W782" t="s">
        <v>11914</v>
      </c>
      <c r="X782" t="s">
        <v>11915</v>
      </c>
      <c r="Y782" t="s">
        <v>11916</v>
      </c>
      <c r="Z782" t="s">
        <v>11917</v>
      </c>
      <c r="AA782" t="s">
        <v>11918</v>
      </c>
      <c r="AB782" t="s">
        <v>11919</v>
      </c>
      <c r="AC782" t="s">
        <v>74</v>
      </c>
      <c r="AD782" t="s">
        <v>74</v>
      </c>
      <c r="AE782" t="s">
        <v>74</v>
      </c>
      <c r="AF782" t="s">
        <v>74</v>
      </c>
      <c r="AG782">
        <v>57</v>
      </c>
      <c r="AH782">
        <v>8</v>
      </c>
      <c r="AI782">
        <v>8</v>
      </c>
      <c r="AJ782">
        <v>0</v>
      </c>
      <c r="AK782">
        <v>4</v>
      </c>
      <c r="AL782" t="s">
        <v>11920</v>
      </c>
      <c r="AM782" t="s">
        <v>11921</v>
      </c>
      <c r="AN782" t="s">
        <v>11922</v>
      </c>
      <c r="AO782" t="s">
        <v>11923</v>
      </c>
      <c r="AP782" t="s">
        <v>74</v>
      </c>
      <c r="AQ782" t="s">
        <v>74</v>
      </c>
      <c r="AR782" t="s">
        <v>11924</v>
      </c>
      <c r="AS782" t="s">
        <v>11925</v>
      </c>
      <c r="AT782" t="s">
        <v>11436</v>
      </c>
      <c r="AU782">
        <v>2005</v>
      </c>
      <c r="AV782">
        <v>28</v>
      </c>
      <c r="AW782">
        <v>5</v>
      </c>
      <c r="AX782" t="s">
        <v>74</v>
      </c>
      <c r="AY782" t="s">
        <v>74</v>
      </c>
      <c r="AZ782" t="s">
        <v>74</v>
      </c>
      <c r="BA782" t="s">
        <v>74</v>
      </c>
      <c r="BB782">
        <v>829</v>
      </c>
      <c r="BC782">
        <v>833</v>
      </c>
      <c r="BD782" t="s">
        <v>74</v>
      </c>
      <c r="BE782" t="s">
        <v>11926</v>
      </c>
      <c r="BF782" t="str">
        <f>HYPERLINK("http://dx.doi.org/10.1590/S0100-40422005000500019","http://dx.doi.org/10.1590/S0100-40422005000500019")</f>
        <v>http://dx.doi.org/10.1590/S0100-40422005000500019</v>
      </c>
      <c r="BG782" t="s">
        <v>74</v>
      </c>
      <c r="BH782" t="s">
        <v>74</v>
      </c>
      <c r="BI782">
        <v>5</v>
      </c>
      <c r="BJ782" t="s">
        <v>4757</v>
      </c>
      <c r="BK782" t="s">
        <v>98</v>
      </c>
      <c r="BL782" t="s">
        <v>3291</v>
      </c>
      <c r="BM782" t="s">
        <v>11927</v>
      </c>
      <c r="BN782" t="s">
        <v>74</v>
      </c>
      <c r="BO782" t="s">
        <v>11928</v>
      </c>
      <c r="BP782" t="s">
        <v>74</v>
      </c>
      <c r="BQ782" t="s">
        <v>74</v>
      </c>
      <c r="BR782" t="s">
        <v>101</v>
      </c>
      <c r="BS782" t="s">
        <v>11929</v>
      </c>
      <c r="BT782" t="str">
        <f>HYPERLINK("https%3A%2F%2Fwww.webofscience.com%2Fwos%2Fwoscc%2Ffull-record%2FWOS:000232158700018","View Full Record in Web of Science")</f>
        <v>View Full Record in Web of Science</v>
      </c>
    </row>
    <row r="783" spans="1:72" x14ac:dyDescent="0.15">
      <c r="A783" t="s">
        <v>72</v>
      </c>
      <c r="B783" t="s">
        <v>11930</v>
      </c>
      <c r="C783" t="s">
        <v>74</v>
      </c>
      <c r="D783" t="s">
        <v>74</v>
      </c>
      <c r="E783" t="s">
        <v>74</v>
      </c>
      <c r="F783" t="s">
        <v>11930</v>
      </c>
      <c r="G783" t="s">
        <v>74</v>
      </c>
      <c r="H783" t="s">
        <v>74</v>
      </c>
      <c r="I783" t="s">
        <v>11931</v>
      </c>
      <c r="J783" t="s">
        <v>11932</v>
      </c>
      <c r="K783" t="s">
        <v>74</v>
      </c>
      <c r="L783" t="s">
        <v>74</v>
      </c>
      <c r="M783" t="s">
        <v>77</v>
      </c>
      <c r="N783" t="s">
        <v>78</v>
      </c>
      <c r="O783" t="s">
        <v>74</v>
      </c>
      <c r="P783" t="s">
        <v>74</v>
      </c>
      <c r="Q783" t="s">
        <v>74</v>
      </c>
      <c r="R783" t="s">
        <v>74</v>
      </c>
      <c r="S783" t="s">
        <v>74</v>
      </c>
      <c r="T783" t="s">
        <v>11933</v>
      </c>
      <c r="U783" t="s">
        <v>11934</v>
      </c>
      <c r="V783" t="s">
        <v>11935</v>
      </c>
      <c r="W783" t="s">
        <v>11936</v>
      </c>
      <c r="X783" t="s">
        <v>6954</v>
      </c>
      <c r="Y783" t="s">
        <v>11937</v>
      </c>
      <c r="Z783" t="s">
        <v>11938</v>
      </c>
      <c r="AA783" t="s">
        <v>11939</v>
      </c>
      <c r="AB783" t="s">
        <v>74</v>
      </c>
      <c r="AC783" t="s">
        <v>74</v>
      </c>
      <c r="AD783" t="s">
        <v>74</v>
      </c>
      <c r="AE783" t="s">
        <v>74</v>
      </c>
      <c r="AF783" t="s">
        <v>74</v>
      </c>
      <c r="AG783">
        <v>50</v>
      </c>
      <c r="AH783">
        <v>38</v>
      </c>
      <c r="AI783">
        <v>43</v>
      </c>
      <c r="AJ783">
        <v>0</v>
      </c>
      <c r="AK783">
        <v>5</v>
      </c>
      <c r="AL783" t="s">
        <v>11940</v>
      </c>
      <c r="AM783" t="s">
        <v>11941</v>
      </c>
      <c r="AN783" t="s">
        <v>11942</v>
      </c>
      <c r="AO783" t="s">
        <v>11943</v>
      </c>
      <c r="AP783" t="s">
        <v>11944</v>
      </c>
      <c r="AQ783" t="s">
        <v>74</v>
      </c>
      <c r="AR783" t="s">
        <v>11945</v>
      </c>
      <c r="AS783" t="s">
        <v>11946</v>
      </c>
      <c r="AT783" t="s">
        <v>10970</v>
      </c>
      <c r="AU783">
        <v>2005</v>
      </c>
      <c r="AV783">
        <v>78</v>
      </c>
      <c r="AW783">
        <v>3</v>
      </c>
      <c r="AX783" t="s">
        <v>74</v>
      </c>
      <c r="AY783" t="s">
        <v>74</v>
      </c>
      <c r="AZ783" t="s">
        <v>74</v>
      </c>
      <c r="BA783" t="s">
        <v>74</v>
      </c>
      <c r="BB783">
        <v>497</v>
      </c>
      <c r="BC783">
        <v>517</v>
      </c>
      <c r="BD783" t="s">
        <v>74</v>
      </c>
      <c r="BE783" t="s">
        <v>74</v>
      </c>
      <c r="BF783" t="s">
        <v>74</v>
      </c>
      <c r="BG783" t="s">
        <v>74</v>
      </c>
      <c r="BH783" t="s">
        <v>74</v>
      </c>
      <c r="BI783">
        <v>21</v>
      </c>
      <c r="BJ783" t="s">
        <v>3990</v>
      </c>
      <c r="BK783" t="s">
        <v>98</v>
      </c>
      <c r="BL783" t="s">
        <v>147</v>
      </c>
      <c r="BM783" t="s">
        <v>11947</v>
      </c>
      <c r="BN783" t="s">
        <v>74</v>
      </c>
      <c r="BO783" t="s">
        <v>74</v>
      </c>
      <c r="BP783" t="s">
        <v>74</v>
      </c>
      <c r="BQ783" t="s">
        <v>74</v>
      </c>
      <c r="BR783" t="s">
        <v>101</v>
      </c>
      <c r="BS783" t="s">
        <v>11948</v>
      </c>
      <c r="BT783" t="str">
        <f>HYPERLINK("https%3A%2F%2Fwww.webofscience.com%2Fwos%2Fwoscc%2Ffull-record%2FWOS:000232544500011","View Full Record in Web of Science")</f>
        <v>View Full Record in Web of Science</v>
      </c>
    </row>
    <row r="784" spans="1:72" x14ac:dyDescent="0.15">
      <c r="A784" t="s">
        <v>72</v>
      </c>
      <c r="B784" t="s">
        <v>11949</v>
      </c>
      <c r="C784" t="s">
        <v>74</v>
      </c>
      <c r="D784" t="s">
        <v>74</v>
      </c>
      <c r="E784" t="s">
        <v>74</v>
      </c>
      <c r="F784" t="s">
        <v>11949</v>
      </c>
      <c r="G784" t="s">
        <v>74</v>
      </c>
      <c r="H784" t="s">
        <v>74</v>
      </c>
      <c r="I784" t="s">
        <v>11950</v>
      </c>
      <c r="J784" t="s">
        <v>11951</v>
      </c>
      <c r="K784" t="s">
        <v>74</v>
      </c>
      <c r="L784" t="s">
        <v>74</v>
      </c>
      <c r="M784" t="s">
        <v>77</v>
      </c>
      <c r="N784" t="s">
        <v>78</v>
      </c>
      <c r="O784" t="s">
        <v>74</v>
      </c>
      <c r="P784" t="s">
        <v>74</v>
      </c>
      <c r="Q784" t="s">
        <v>74</v>
      </c>
      <c r="R784" t="s">
        <v>74</v>
      </c>
      <c r="S784" t="s">
        <v>74</v>
      </c>
      <c r="T784" t="s">
        <v>11952</v>
      </c>
      <c r="U784" t="s">
        <v>11953</v>
      </c>
      <c r="V784" t="s">
        <v>11954</v>
      </c>
      <c r="W784" t="s">
        <v>11955</v>
      </c>
      <c r="X784" t="s">
        <v>11956</v>
      </c>
      <c r="Y784" t="s">
        <v>11957</v>
      </c>
      <c r="Z784" t="s">
        <v>11958</v>
      </c>
      <c r="AA784" t="s">
        <v>11959</v>
      </c>
      <c r="AB784" t="s">
        <v>74</v>
      </c>
      <c r="AC784" t="s">
        <v>74</v>
      </c>
      <c r="AD784" t="s">
        <v>74</v>
      </c>
      <c r="AE784" t="s">
        <v>74</v>
      </c>
      <c r="AF784" t="s">
        <v>74</v>
      </c>
      <c r="AG784">
        <v>18</v>
      </c>
      <c r="AH784">
        <v>9</v>
      </c>
      <c r="AI784">
        <v>9</v>
      </c>
      <c r="AJ784">
        <v>0</v>
      </c>
      <c r="AK784">
        <v>5</v>
      </c>
      <c r="AL784" t="s">
        <v>11960</v>
      </c>
      <c r="AM784" t="s">
        <v>89</v>
      </c>
      <c r="AN784" t="s">
        <v>11961</v>
      </c>
      <c r="AO784" t="s">
        <v>11962</v>
      </c>
      <c r="AP784" t="s">
        <v>74</v>
      </c>
      <c r="AQ784" t="s">
        <v>74</v>
      </c>
      <c r="AR784" t="s">
        <v>11963</v>
      </c>
      <c r="AS784" t="s">
        <v>11964</v>
      </c>
      <c r="AT784" t="s">
        <v>11436</v>
      </c>
      <c r="AU784">
        <v>2005</v>
      </c>
      <c r="AV784">
        <v>31</v>
      </c>
      <c r="AW784">
        <v>5</v>
      </c>
      <c r="AX784" t="s">
        <v>74</v>
      </c>
      <c r="AY784" t="s">
        <v>74</v>
      </c>
      <c r="AZ784" t="s">
        <v>74</v>
      </c>
      <c r="BA784" t="s">
        <v>74</v>
      </c>
      <c r="BB784">
        <v>467</v>
      </c>
      <c r="BC784">
        <v>474</v>
      </c>
      <c r="BD784" t="s">
        <v>74</v>
      </c>
      <c r="BE784" t="s">
        <v>11965</v>
      </c>
      <c r="BF784" t="str">
        <f>HYPERLINK("http://dx.doi.org/10.1007/s11171-005-0064-y","http://dx.doi.org/10.1007/s11171-005-0064-y")</f>
        <v>http://dx.doi.org/10.1007/s11171-005-0064-y</v>
      </c>
      <c r="BG784" t="s">
        <v>74</v>
      </c>
      <c r="BH784" t="s">
        <v>74</v>
      </c>
      <c r="BI784">
        <v>8</v>
      </c>
      <c r="BJ784" t="s">
        <v>11966</v>
      </c>
      <c r="BK784" t="s">
        <v>98</v>
      </c>
      <c r="BL784" t="s">
        <v>5737</v>
      </c>
      <c r="BM784" t="s">
        <v>11967</v>
      </c>
      <c r="BN784" t="s">
        <v>74</v>
      </c>
      <c r="BO784" t="s">
        <v>74</v>
      </c>
      <c r="BP784" t="s">
        <v>74</v>
      </c>
      <c r="BQ784" t="s">
        <v>74</v>
      </c>
      <c r="BR784" t="s">
        <v>101</v>
      </c>
      <c r="BS784" t="s">
        <v>11968</v>
      </c>
      <c r="BT784" t="str">
        <f>HYPERLINK("https%3A%2F%2Fwww.webofscience.com%2Fwos%2Fwoscc%2Ffull-record%2FWOS:000232932200008","View Full Record in Web of Science")</f>
        <v>View Full Record in Web of Science</v>
      </c>
    </row>
    <row r="785" spans="1:72" x14ac:dyDescent="0.15">
      <c r="A785" t="s">
        <v>72</v>
      </c>
      <c r="B785" t="s">
        <v>11969</v>
      </c>
      <c r="C785" t="s">
        <v>74</v>
      </c>
      <c r="D785" t="s">
        <v>74</v>
      </c>
      <c r="E785" t="s">
        <v>74</v>
      </c>
      <c r="F785" t="s">
        <v>11969</v>
      </c>
      <c r="G785" t="s">
        <v>74</v>
      </c>
      <c r="H785" t="s">
        <v>74</v>
      </c>
      <c r="I785" t="s">
        <v>11970</v>
      </c>
      <c r="J785" t="s">
        <v>11971</v>
      </c>
      <c r="K785" t="s">
        <v>74</v>
      </c>
      <c r="L785" t="s">
        <v>74</v>
      </c>
      <c r="M785" t="s">
        <v>77</v>
      </c>
      <c r="N785" t="s">
        <v>78</v>
      </c>
      <c r="O785" t="s">
        <v>74</v>
      </c>
      <c r="P785" t="s">
        <v>74</v>
      </c>
      <c r="Q785" t="s">
        <v>74</v>
      </c>
      <c r="R785" t="s">
        <v>74</v>
      </c>
      <c r="S785" t="s">
        <v>74</v>
      </c>
      <c r="T785" t="s">
        <v>74</v>
      </c>
      <c r="U785" t="s">
        <v>11972</v>
      </c>
      <c r="V785" t="s">
        <v>11973</v>
      </c>
      <c r="W785" t="s">
        <v>11974</v>
      </c>
      <c r="X785" t="s">
        <v>11975</v>
      </c>
      <c r="Y785" t="s">
        <v>11976</v>
      </c>
      <c r="Z785" t="s">
        <v>11977</v>
      </c>
      <c r="AA785" t="s">
        <v>11978</v>
      </c>
      <c r="AB785" t="s">
        <v>11979</v>
      </c>
      <c r="AC785" t="s">
        <v>74</v>
      </c>
      <c r="AD785" t="s">
        <v>74</v>
      </c>
      <c r="AE785" t="s">
        <v>74</v>
      </c>
      <c r="AF785" t="s">
        <v>74</v>
      </c>
      <c r="AG785">
        <v>52</v>
      </c>
      <c r="AH785">
        <v>21</v>
      </c>
      <c r="AI785">
        <v>25</v>
      </c>
      <c r="AJ785">
        <v>0</v>
      </c>
      <c r="AK785">
        <v>16</v>
      </c>
      <c r="AL785" t="s">
        <v>348</v>
      </c>
      <c r="AM785" t="s">
        <v>349</v>
      </c>
      <c r="AN785" t="s">
        <v>1523</v>
      </c>
      <c r="AO785" t="s">
        <v>11980</v>
      </c>
      <c r="AP785" t="s">
        <v>74</v>
      </c>
      <c r="AQ785" t="s">
        <v>74</v>
      </c>
      <c r="AR785" t="s">
        <v>11981</v>
      </c>
      <c r="AS785" t="s">
        <v>11982</v>
      </c>
      <c r="AT785" t="s">
        <v>10970</v>
      </c>
      <c r="AU785">
        <v>2005</v>
      </c>
      <c r="AV785">
        <v>57</v>
      </c>
      <c r="AW785">
        <v>4</v>
      </c>
      <c r="AX785" t="s">
        <v>74</v>
      </c>
      <c r="AY785" t="s">
        <v>74</v>
      </c>
      <c r="AZ785" t="s">
        <v>74</v>
      </c>
      <c r="BA785" t="s">
        <v>74</v>
      </c>
      <c r="BB785">
        <v>341</v>
      </c>
      <c r="BC785">
        <v>350</v>
      </c>
      <c r="BD785" t="s">
        <v>74</v>
      </c>
      <c r="BE785" t="s">
        <v>11983</v>
      </c>
      <c r="BF785" t="str">
        <f>HYPERLINK("http://dx.doi.org/10.1111/j.1600-0889.2005.00157.x","http://dx.doi.org/10.1111/j.1600-0889.2005.00157.x")</f>
        <v>http://dx.doi.org/10.1111/j.1600-0889.2005.00157.x</v>
      </c>
      <c r="BG785" t="s">
        <v>74</v>
      </c>
      <c r="BH785" t="s">
        <v>74</v>
      </c>
      <c r="BI785">
        <v>10</v>
      </c>
      <c r="BJ785" t="s">
        <v>2033</v>
      </c>
      <c r="BK785" t="s">
        <v>98</v>
      </c>
      <c r="BL785" t="s">
        <v>2033</v>
      </c>
      <c r="BM785" t="s">
        <v>11984</v>
      </c>
      <c r="BN785" t="s">
        <v>74</v>
      </c>
      <c r="BO785" t="s">
        <v>1132</v>
      </c>
      <c r="BP785" t="s">
        <v>74</v>
      </c>
      <c r="BQ785" t="s">
        <v>74</v>
      </c>
      <c r="BR785" t="s">
        <v>101</v>
      </c>
      <c r="BS785" t="s">
        <v>11985</v>
      </c>
      <c r="BT785" t="str">
        <f>HYPERLINK("https%3A%2F%2Fwww.webofscience.com%2Fwos%2Fwoscc%2Ffull-record%2FWOS:000231510900006","View Full Record in Web of Science")</f>
        <v>View Full Record in Web of Science</v>
      </c>
    </row>
    <row r="786" spans="1:72" x14ac:dyDescent="0.15">
      <c r="A786" t="s">
        <v>72</v>
      </c>
      <c r="B786" t="s">
        <v>11986</v>
      </c>
      <c r="C786" t="s">
        <v>74</v>
      </c>
      <c r="D786" t="s">
        <v>74</v>
      </c>
      <c r="E786" t="s">
        <v>74</v>
      </c>
      <c r="F786" t="s">
        <v>11986</v>
      </c>
      <c r="G786" t="s">
        <v>74</v>
      </c>
      <c r="H786" t="s">
        <v>74</v>
      </c>
      <c r="I786" t="s">
        <v>11987</v>
      </c>
      <c r="J786" t="s">
        <v>11971</v>
      </c>
      <c r="K786" t="s">
        <v>74</v>
      </c>
      <c r="L786" t="s">
        <v>74</v>
      </c>
      <c r="M786" t="s">
        <v>77</v>
      </c>
      <c r="N786" t="s">
        <v>78</v>
      </c>
      <c r="O786" t="s">
        <v>74</v>
      </c>
      <c r="P786" t="s">
        <v>74</v>
      </c>
      <c r="Q786" t="s">
        <v>74</v>
      </c>
      <c r="R786" t="s">
        <v>74</v>
      </c>
      <c r="S786" t="s">
        <v>74</v>
      </c>
      <c r="T786" t="s">
        <v>74</v>
      </c>
      <c r="U786" t="s">
        <v>11988</v>
      </c>
      <c r="V786" t="s">
        <v>11989</v>
      </c>
      <c r="W786" t="s">
        <v>11990</v>
      </c>
      <c r="X786" t="s">
        <v>3837</v>
      </c>
      <c r="Y786" t="s">
        <v>11991</v>
      </c>
      <c r="Z786" t="s">
        <v>11992</v>
      </c>
      <c r="AA786" t="s">
        <v>11993</v>
      </c>
      <c r="AB786" t="s">
        <v>11994</v>
      </c>
      <c r="AC786" t="s">
        <v>74</v>
      </c>
      <c r="AD786" t="s">
        <v>74</v>
      </c>
      <c r="AE786" t="s">
        <v>74</v>
      </c>
      <c r="AF786" t="s">
        <v>74</v>
      </c>
      <c r="AG786">
        <v>29</v>
      </c>
      <c r="AH786">
        <v>16</v>
      </c>
      <c r="AI786">
        <v>16</v>
      </c>
      <c r="AJ786">
        <v>0</v>
      </c>
      <c r="AK786">
        <v>2</v>
      </c>
      <c r="AL786" t="s">
        <v>348</v>
      </c>
      <c r="AM786" t="s">
        <v>349</v>
      </c>
      <c r="AN786" t="s">
        <v>1523</v>
      </c>
      <c r="AO786" t="s">
        <v>11980</v>
      </c>
      <c r="AP786" t="s">
        <v>74</v>
      </c>
      <c r="AQ786" t="s">
        <v>74</v>
      </c>
      <c r="AR786" t="s">
        <v>11981</v>
      </c>
      <c r="AS786" t="s">
        <v>11982</v>
      </c>
      <c r="AT786" t="s">
        <v>10970</v>
      </c>
      <c r="AU786">
        <v>2005</v>
      </c>
      <c r="AV786">
        <v>57</v>
      </c>
      <c r="AW786">
        <v>4</v>
      </c>
      <c r="AX786" t="s">
        <v>74</v>
      </c>
      <c r="AY786" t="s">
        <v>74</v>
      </c>
      <c r="AZ786" t="s">
        <v>74</v>
      </c>
      <c r="BA786" t="s">
        <v>74</v>
      </c>
      <c r="BB786">
        <v>351</v>
      </c>
      <c r="BC786">
        <v>355</v>
      </c>
      <c r="BD786" t="s">
        <v>74</v>
      </c>
      <c r="BE786" t="s">
        <v>11995</v>
      </c>
      <c r="BF786" t="str">
        <f>HYPERLINK("http://dx.doi.org/10.1111/j.1600-0889.2005.00154.x","http://dx.doi.org/10.1111/j.1600-0889.2005.00154.x")</f>
        <v>http://dx.doi.org/10.1111/j.1600-0889.2005.00154.x</v>
      </c>
      <c r="BG786" t="s">
        <v>74</v>
      </c>
      <c r="BH786" t="s">
        <v>74</v>
      </c>
      <c r="BI786">
        <v>5</v>
      </c>
      <c r="BJ786" t="s">
        <v>2033</v>
      </c>
      <c r="BK786" t="s">
        <v>98</v>
      </c>
      <c r="BL786" t="s">
        <v>2033</v>
      </c>
      <c r="BM786" t="s">
        <v>11984</v>
      </c>
      <c r="BN786" t="s">
        <v>74</v>
      </c>
      <c r="BO786" t="s">
        <v>74</v>
      </c>
      <c r="BP786" t="s">
        <v>74</v>
      </c>
      <c r="BQ786" t="s">
        <v>74</v>
      </c>
      <c r="BR786" t="s">
        <v>101</v>
      </c>
      <c r="BS786" t="s">
        <v>11996</v>
      </c>
      <c r="BT786" t="str">
        <f>HYPERLINK("https%3A%2F%2Fwww.webofscience.com%2Fwos%2Fwoscc%2Ffull-record%2FWOS:000231510900007","View Full Record in Web of Science")</f>
        <v>View Full Record in Web of Science</v>
      </c>
    </row>
    <row r="787" spans="1:72" x14ac:dyDescent="0.15">
      <c r="A787" t="s">
        <v>72</v>
      </c>
      <c r="B787" t="s">
        <v>11997</v>
      </c>
      <c r="C787" t="s">
        <v>74</v>
      </c>
      <c r="D787" t="s">
        <v>74</v>
      </c>
      <c r="E787" t="s">
        <v>74</v>
      </c>
      <c r="F787" t="s">
        <v>11997</v>
      </c>
      <c r="G787" t="s">
        <v>74</v>
      </c>
      <c r="H787" t="s">
        <v>74</v>
      </c>
      <c r="I787" t="s">
        <v>11998</v>
      </c>
      <c r="J787" t="s">
        <v>11999</v>
      </c>
      <c r="K787" t="s">
        <v>74</v>
      </c>
      <c r="L787" t="s">
        <v>74</v>
      </c>
      <c r="M787" t="s">
        <v>77</v>
      </c>
      <c r="N787" t="s">
        <v>78</v>
      </c>
      <c r="O787" t="s">
        <v>74</v>
      </c>
      <c r="P787" t="s">
        <v>74</v>
      </c>
      <c r="Q787" t="s">
        <v>74</v>
      </c>
      <c r="R787" t="s">
        <v>74</v>
      </c>
      <c r="S787" t="s">
        <v>74</v>
      </c>
      <c r="T787" t="s">
        <v>12000</v>
      </c>
      <c r="U787" t="s">
        <v>12001</v>
      </c>
      <c r="V787" t="s">
        <v>12002</v>
      </c>
      <c r="W787" t="s">
        <v>12003</v>
      </c>
      <c r="X787" t="s">
        <v>12004</v>
      </c>
      <c r="Y787" t="s">
        <v>12005</v>
      </c>
      <c r="Z787" t="s">
        <v>12006</v>
      </c>
      <c r="AA787" t="s">
        <v>12007</v>
      </c>
      <c r="AB787" t="s">
        <v>12008</v>
      </c>
      <c r="AC787" t="s">
        <v>74</v>
      </c>
      <c r="AD787" t="s">
        <v>74</v>
      </c>
      <c r="AE787" t="s">
        <v>74</v>
      </c>
      <c r="AF787" t="s">
        <v>74</v>
      </c>
      <c r="AG787">
        <v>15</v>
      </c>
      <c r="AH787">
        <v>23</v>
      </c>
      <c r="AI787">
        <v>26</v>
      </c>
      <c r="AJ787">
        <v>1</v>
      </c>
      <c r="AK787">
        <v>11</v>
      </c>
      <c r="AL787" t="s">
        <v>1147</v>
      </c>
      <c r="AM787" t="s">
        <v>1148</v>
      </c>
      <c r="AN787" t="s">
        <v>1149</v>
      </c>
      <c r="AO787" t="s">
        <v>12009</v>
      </c>
      <c r="AP787" t="s">
        <v>74</v>
      </c>
      <c r="AQ787" t="s">
        <v>74</v>
      </c>
      <c r="AR787" t="s">
        <v>11999</v>
      </c>
      <c r="AS787" t="s">
        <v>12010</v>
      </c>
      <c r="AT787" t="s">
        <v>10970</v>
      </c>
      <c r="AU787">
        <v>2005</v>
      </c>
      <c r="AV787">
        <v>42</v>
      </c>
      <c r="AW787">
        <v>3</v>
      </c>
      <c r="AX787" t="s">
        <v>74</v>
      </c>
      <c r="AY787" t="s">
        <v>74</v>
      </c>
      <c r="AZ787" t="s">
        <v>74</v>
      </c>
      <c r="BA787" t="s">
        <v>74</v>
      </c>
      <c r="BB787">
        <v>202</v>
      </c>
      <c r="BC787">
        <v>210</v>
      </c>
      <c r="BD787" t="s">
        <v>74</v>
      </c>
      <c r="BE787" t="s">
        <v>12011</v>
      </c>
      <c r="BF787" t="str">
        <f>HYPERLINK("http://dx.doi.org/10.1016/j.wavemoti.2005.02.001","http://dx.doi.org/10.1016/j.wavemoti.2005.02.001")</f>
        <v>http://dx.doi.org/10.1016/j.wavemoti.2005.02.001</v>
      </c>
      <c r="BG787" t="s">
        <v>74</v>
      </c>
      <c r="BH787" t="s">
        <v>74</v>
      </c>
      <c r="BI787">
        <v>9</v>
      </c>
      <c r="BJ787" t="s">
        <v>12012</v>
      </c>
      <c r="BK787" t="s">
        <v>98</v>
      </c>
      <c r="BL787" t="s">
        <v>12013</v>
      </c>
      <c r="BM787" t="s">
        <v>12014</v>
      </c>
      <c r="BN787" t="s">
        <v>74</v>
      </c>
      <c r="BO787" t="s">
        <v>74</v>
      </c>
      <c r="BP787" t="s">
        <v>74</v>
      </c>
      <c r="BQ787" t="s">
        <v>74</v>
      </c>
      <c r="BR787" t="s">
        <v>101</v>
      </c>
      <c r="BS787" t="s">
        <v>12015</v>
      </c>
      <c r="BT787" t="str">
        <f>HYPERLINK("https%3A%2F%2Fwww.webofscience.com%2Fwos%2Fwoscc%2Ffull-record%2FWOS:000230823500002","View Full Record in Web of Science")</f>
        <v>View Full Record in Web of Science</v>
      </c>
    </row>
    <row r="788" spans="1:72" x14ac:dyDescent="0.15">
      <c r="A788" t="s">
        <v>72</v>
      </c>
      <c r="B788" t="s">
        <v>12016</v>
      </c>
      <c r="C788" t="s">
        <v>74</v>
      </c>
      <c r="D788" t="s">
        <v>74</v>
      </c>
      <c r="E788" t="s">
        <v>74</v>
      </c>
      <c r="F788" t="s">
        <v>12016</v>
      </c>
      <c r="G788" t="s">
        <v>74</v>
      </c>
      <c r="H788" t="s">
        <v>74</v>
      </c>
      <c r="I788" t="s">
        <v>12017</v>
      </c>
      <c r="J788" t="s">
        <v>5063</v>
      </c>
      <c r="K788" t="s">
        <v>74</v>
      </c>
      <c r="L788" t="s">
        <v>74</v>
      </c>
      <c r="M788" t="s">
        <v>77</v>
      </c>
      <c r="N788" t="s">
        <v>78</v>
      </c>
      <c r="O788" t="s">
        <v>74</v>
      </c>
      <c r="P788" t="s">
        <v>74</v>
      </c>
      <c r="Q788" t="s">
        <v>74</v>
      </c>
      <c r="R788" t="s">
        <v>74</v>
      </c>
      <c r="S788" t="s">
        <v>74</v>
      </c>
      <c r="T788" t="s">
        <v>74</v>
      </c>
      <c r="U788" t="s">
        <v>12018</v>
      </c>
      <c r="V788" t="s">
        <v>12019</v>
      </c>
      <c r="W788" t="s">
        <v>12020</v>
      </c>
      <c r="X788" t="s">
        <v>12021</v>
      </c>
      <c r="Y788" t="s">
        <v>12022</v>
      </c>
      <c r="Z788" t="s">
        <v>12023</v>
      </c>
      <c r="AA788" t="s">
        <v>12024</v>
      </c>
      <c r="AB788" t="s">
        <v>12025</v>
      </c>
      <c r="AC788" t="s">
        <v>74</v>
      </c>
      <c r="AD788" t="s">
        <v>74</v>
      </c>
      <c r="AE788" t="s">
        <v>74</v>
      </c>
      <c r="AF788" t="s">
        <v>74</v>
      </c>
      <c r="AG788">
        <v>19</v>
      </c>
      <c r="AH788">
        <v>125</v>
      </c>
      <c r="AI788">
        <v>132</v>
      </c>
      <c r="AJ788">
        <v>0</v>
      </c>
      <c r="AK788">
        <v>12</v>
      </c>
      <c r="AL788" t="s">
        <v>4487</v>
      </c>
      <c r="AM788" t="s">
        <v>2541</v>
      </c>
      <c r="AN788" t="s">
        <v>4488</v>
      </c>
      <c r="AO788" t="s">
        <v>5072</v>
      </c>
      <c r="AP788" t="s">
        <v>5073</v>
      </c>
      <c r="AQ788" t="s">
        <v>74</v>
      </c>
      <c r="AR788" t="s">
        <v>5074</v>
      </c>
      <c r="AS788" t="s">
        <v>5075</v>
      </c>
      <c r="AT788" t="s">
        <v>12026</v>
      </c>
      <c r="AU788">
        <v>2005</v>
      </c>
      <c r="AV788">
        <v>110</v>
      </c>
      <c r="AW788" t="s">
        <v>12027</v>
      </c>
      <c r="AX788" t="s">
        <v>74</v>
      </c>
      <c r="AY788" t="s">
        <v>74</v>
      </c>
      <c r="AZ788" t="s">
        <v>74</v>
      </c>
      <c r="BA788" t="s">
        <v>74</v>
      </c>
      <c r="BB788" t="s">
        <v>74</v>
      </c>
      <c r="BC788" t="s">
        <v>74</v>
      </c>
      <c r="BD788" t="s">
        <v>12028</v>
      </c>
      <c r="BE788" t="s">
        <v>12029</v>
      </c>
      <c r="BF788" t="str">
        <f>HYPERLINK("http://dx.doi.org/10.1029/2004JD004662","http://dx.doi.org/10.1029/2004JD004662")</f>
        <v>http://dx.doi.org/10.1029/2004JD004662</v>
      </c>
      <c r="BG788" t="s">
        <v>74</v>
      </c>
      <c r="BH788" t="s">
        <v>74</v>
      </c>
      <c r="BI788">
        <v>14</v>
      </c>
      <c r="BJ788" t="s">
        <v>2033</v>
      </c>
      <c r="BK788" t="s">
        <v>98</v>
      </c>
      <c r="BL788" t="s">
        <v>2033</v>
      </c>
      <c r="BM788" t="s">
        <v>12030</v>
      </c>
      <c r="BN788" t="s">
        <v>74</v>
      </c>
      <c r="BO788" t="s">
        <v>1900</v>
      </c>
      <c r="BP788" t="s">
        <v>74</v>
      </c>
      <c r="BQ788" t="s">
        <v>74</v>
      </c>
      <c r="BR788" t="s">
        <v>101</v>
      </c>
      <c r="BS788" t="s">
        <v>12031</v>
      </c>
      <c r="BT788" t="str">
        <f>HYPERLINK("https%3A%2F%2Fwww.webofscience.com%2Fwos%2Fwoscc%2Ffull-record%2FWOS:000231727400001","View Full Record in Web of Science")</f>
        <v>View Full Record in Web of Science</v>
      </c>
    </row>
    <row r="789" spans="1:72" x14ac:dyDescent="0.15">
      <c r="A789" t="s">
        <v>72</v>
      </c>
      <c r="B789" t="s">
        <v>12032</v>
      </c>
      <c r="C789" t="s">
        <v>74</v>
      </c>
      <c r="D789" t="s">
        <v>74</v>
      </c>
      <c r="E789" t="s">
        <v>74</v>
      </c>
      <c r="F789" t="s">
        <v>12032</v>
      </c>
      <c r="G789" t="s">
        <v>74</v>
      </c>
      <c r="H789" t="s">
        <v>74</v>
      </c>
      <c r="I789" t="s">
        <v>12033</v>
      </c>
      <c r="J789" t="s">
        <v>9509</v>
      </c>
      <c r="K789" t="s">
        <v>74</v>
      </c>
      <c r="L789" t="s">
        <v>74</v>
      </c>
      <c r="M789" t="s">
        <v>77</v>
      </c>
      <c r="N789" t="s">
        <v>78</v>
      </c>
      <c r="O789" t="s">
        <v>74</v>
      </c>
      <c r="P789" t="s">
        <v>74</v>
      </c>
      <c r="Q789" t="s">
        <v>74</v>
      </c>
      <c r="R789" t="s">
        <v>74</v>
      </c>
      <c r="S789" t="s">
        <v>74</v>
      </c>
      <c r="T789" t="s">
        <v>12034</v>
      </c>
      <c r="U789" t="s">
        <v>12035</v>
      </c>
      <c r="V789" t="s">
        <v>12036</v>
      </c>
      <c r="W789" t="s">
        <v>12037</v>
      </c>
      <c r="X789" t="s">
        <v>12038</v>
      </c>
      <c r="Y789" t="s">
        <v>12039</v>
      </c>
      <c r="Z789" t="s">
        <v>12040</v>
      </c>
      <c r="AA789" t="s">
        <v>74</v>
      </c>
      <c r="AB789" t="s">
        <v>74</v>
      </c>
      <c r="AC789" t="s">
        <v>74</v>
      </c>
      <c r="AD789" t="s">
        <v>74</v>
      </c>
      <c r="AE789" t="s">
        <v>74</v>
      </c>
      <c r="AF789" t="s">
        <v>74</v>
      </c>
      <c r="AG789">
        <v>65</v>
      </c>
      <c r="AH789">
        <v>31</v>
      </c>
      <c r="AI789">
        <v>34</v>
      </c>
      <c r="AJ789">
        <v>0</v>
      </c>
      <c r="AK789">
        <v>9</v>
      </c>
      <c r="AL789" t="s">
        <v>1147</v>
      </c>
      <c r="AM789" t="s">
        <v>1148</v>
      </c>
      <c r="AN789" t="s">
        <v>1149</v>
      </c>
      <c r="AO789" t="s">
        <v>9517</v>
      </c>
      <c r="AP789" t="s">
        <v>12041</v>
      </c>
      <c r="AQ789" t="s">
        <v>74</v>
      </c>
      <c r="AR789" t="s">
        <v>9518</v>
      </c>
      <c r="AS789" t="s">
        <v>9519</v>
      </c>
      <c r="AT789" t="s">
        <v>12042</v>
      </c>
      <c r="AU789">
        <v>2005</v>
      </c>
      <c r="AV789">
        <v>219</v>
      </c>
      <c r="AW789" t="s">
        <v>12043</v>
      </c>
      <c r="AX789" t="s">
        <v>74</v>
      </c>
      <c r="AY789" t="s">
        <v>74</v>
      </c>
      <c r="AZ789" t="s">
        <v>74</v>
      </c>
      <c r="BA789" t="s">
        <v>74</v>
      </c>
      <c r="BB789">
        <v>81</v>
      </c>
      <c r="BC789">
        <v>98</v>
      </c>
      <c r="BD789" t="s">
        <v>74</v>
      </c>
      <c r="BE789" t="s">
        <v>12044</v>
      </c>
      <c r="BF789" t="str">
        <f>HYPERLINK("http://dx.doi.org/10.1016/j.margeo.2005.06.002","http://dx.doi.org/10.1016/j.margeo.2005.06.002")</f>
        <v>http://dx.doi.org/10.1016/j.margeo.2005.06.002</v>
      </c>
      <c r="BG789" t="s">
        <v>74</v>
      </c>
      <c r="BH789" t="s">
        <v>74</v>
      </c>
      <c r="BI789">
        <v>18</v>
      </c>
      <c r="BJ789" t="s">
        <v>9521</v>
      </c>
      <c r="BK789" t="s">
        <v>98</v>
      </c>
      <c r="BL789" t="s">
        <v>9522</v>
      </c>
      <c r="BM789" t="s">
        <v>12045</v>
      </c>
      <c r="BN789" t="s">
        <v>74</v>
      </c>
      <c r="BO789" t="s">
        <v>74</v>
      </c>
      <c r="BP789" t="s">
        <v>74</v>
      </c>
      <c r="BQ789" t="s">
        <v>74</v>
      </c>
      <c r="BR789" t="s">
        <v>101</v>
      </c>
      <c r="BS789" t="s">
        <v>12046</v>
      </c>
      <c r="BT789" t="str">
        <f>HYPERLINK("https%3A%2F%2Fwww.webofscience.com%2Fwos%2Fwoscc%2Ffull-record%2FWOS:000231647200002","View Full Record in Web of Science")</f>
        <v>View Full Record in Web of Science</v>
      </c>
    </row>
    <row r="790" spans="1:72" x14ac:dyDescent="0.15">
      <c r="A790" t="s">
        <v>72</v>
      </c>
      <c r="B790" t="s">
        <v>12047</v>
      </c>
      <c r="C790" t="s">
        <v>74</v>
      </c>
      <c r="D790" t="s">
        <v>74</v>
      </c>
      <c r="E790" t="s">
        <v>74</v>
      </c>
      <c r="F790" t="s">
        <v>12047</v>
      </c>
      <c r="G790" t="s">
        <v>74</v>
      </c>
      <c r="H790" t="s">
        <v>74</v>
      </c>
      <c r="I790" t="s">
        <v>12048</v>
      </c>
      <c r="J790" t="s">
        <v>7805</v>
      </c>
      <c r="K790" t="s">
        <v>74</v>
      </c>
      <c r="L790" t="s">
        <v>74</v>
      </c>
      <c r="M790" t="s">
        <v>77</v>
      </c>
      <c r="N790" t="s">
        <v>78</v>
      </c>
      <c r="O790" t="s">
        <v>74</v>
      </c>
      <c r="P790" t="s">
        <v>74</v>
      </c>
      <c r="Q790" t="s">
        <v>74</v>
      </c>
      <c r="R790" t="s">
        <v>74</v>
      </c>
      <c r="S790" t="s">
        <v>74</v>
      </c>
      <c r="T790" t="s">
        <v>12049</v>
      </c>
      <c r="U790" t="s">
        <v>12050</v>
      </c>
      <c r="V790" t="s">
        <v>12051</v>
      </c>
      <c r="W790" t="s">
        <v>12052</v>
      </c>
      <c r="X790" t="s">
        <v>12053</v>
      </c>
      <c r="Y790" t="s">
        <v>12054</v>
      </c>
      <c r="Z790" t="s">
        <v>12055</v>
      </c>
      <c r="AA790" t="s">
        <v>12056</v>
      </c>
      <c r="AB790" t="s">
        <v>12057</v>
      </c>
      <c r="AC790" t="s">
        <v>74</v>
      </c>
      <c r="AD790" t="s">
        <v>74</v>
      </c>
      <c r="AE790" t="s">
        <v>74</v>
      </c>
      <c r="AF790" t="s">
        <v>74</v>
      </c>
      <c r="AG790">
        <v>69</v>
      </c>
      <c r="AH790">
        <v>27</v>
      </c>
      <c r="AI790">
        <v>28</v>
      </c>
      <c r="AJ790">
        <v>1</v>
      </c>
      <c r="AK790">
        <v>11</v>
      </c>
      <c r="AL790" t="s">
        <v>3283</v>
      </c>
      <c r="AM790" t="s">
        <v>1148</v>
      </c>
      <c r="AN790" t="s">
        <v>3284</v>
      </c>
      <c r="AO790" t="s">
        <v>7816</v>
      </c>
      <c r="AP790" t="s">
        <v>7817</v>
      </c>
      <c r="AQ790" t="s">
        <v>74</v>
      </c>
      <c r="AR790" t="s">
        <v>7818</v>
      </c>
      <c r="AS790" t="s">
        <v>7819</v>
      </c>
      <c r="AT790" t="s">
        <v>12058</v>
      </c>
      <c r="AU790">
        <v>2005</v>
      </c>
      <c r="AV790">
        <v>224</v>
      </c>
      <c r="AW790">
        <v>4</v>
      </c>
      <c r="AX790" t="s">
        <v>74</v>
      </c>
      <c r="AY790" t="s">
        <v>74</v>
      </c>
      <c r="AZ790" t="s">
        <v>74</v>
      </c>
      <c r="BA790" t="s">
        <v>74</v>
      </c>
      <c r="BB790">
        <v>311</v>
      </c>
      <c r="BC790">
        <v>332</v>
      </c>
      <c r="BD790" t="s">
        <v>74</v>
      </c>
      <c r="BE790" t="s">
        <v>12059</v>
      </c>
      <c r="BF790" t="str">
        <f>HYPERLINK("http://dx.doi.org/10.1016/j.palaeo.2005.04.015","http://dx.doi.org/10.1016/j.palaeo.2005.04.015")</f>
        <v>http://dx.doi.org/10.1016/j.palaeo.2005.04.015</v>
      </c>
      <c r="BG790" t="s">
        <v>74</v>
      </c>
      <c r="BH790" t="s">
        <v>74</v>
      </c>
      <c r="BI790">
        <v>22</v>
      </c>
      <c r="BJ790" t="s">
        <v>7821</v>
      </c>
      <c r="BK790" t="s">
        <v>98</v>
      </c>
      <c r="BL790" t="s">
        <v>7822</v>
      </c>
      <c r="BM790" t="s">
        <v>12060</v>
      </c>
      <c r="BN790" t="s">
        <v>74</v>
      </c>
      <c r="BO790" t="s">
        <v>722</v>
      </c>
      <c r="BP790" t="s">
        <v>74</v>
      </c>
      <c r="BQ790" t="s">
        <v>74</v>
      </c>
      <c r="BR790" t="s">
        <v>101</v>
      </c>
      <c r="BS790" t="s">
        <v>12061</v>
      </c>
      <c r="BT790" t="str">
        <f>HYPERLINK("https%3A%2F%2Fwww.webofscience.com%2Fwos%2Fwoscc%2Ffull-record%2FWOS:000231477500001","View Full Record in Web of Science")</f>
        <v>View Full Record in Web of Science</v>
      </c>
    </row>
    <row r="791" spans="1:72" x14ac:dyDescent="0.15">
      <c r="A791" t="s">
        <v>72</v>
      </c>
      <c r="B791" t="s">
        <v>12062</v>
      </c>
      <c r="C791" t="s">
        <v>74</v>
      </c>
      <c r="D791" t="s">
        <v>74</v>
      </c>
      <c r="E791" t="s">
        <v>74</v>
      </c>
      <c r="F791" t="s">
        <v>12062</v>
      </c>
      <c r="G791" t="s">
        <v>74</v>
      </c>
      <c r="H791" t="s">
        <v>74</v>
      </c>
      <c r="I791" t="s">
        <v>12063</v>
      </c>
      <c r="J791" t="s">
        <v>5134</v>
      </c>
      <c r="K791" t="s">
        <v>74</v>
      </c>
      <c r="L791" t="s">
        <v>74</v>
      </c>
      <c r="M791" t="s">
        <v>77</v>
      </c>
      <c r="N791" t="s">
        <v>78</v>
      </c>
      <c r="O791" t="s">
        <v>74</v>
      </c>
      <c r="P791" t="s">
        <v>74</v>
      </c>
      <c r="Q791" t="s">
        <v>74</v>
      </c>
      <c r="R791" t="s">
        <v>74</v>
      </c>
      <c r="S791" t="s">
        <v>74</v>
      </c>
      <c r="T791" t="s">
        <v>74</v>
      </c>
      <c r="U791" t="s">
        <v>12064</v>
      </c>
      <c r="V791" t="s">
        <v>12065</v>
      </c>
      <c r="W791" t="s">
        <v>12066</v>
      </c>
      <c r="X791" t="s">
        <v>12067</v>
      </c>
      <c r="Y791" t="s">
        <v>12068</v>
      </c>
      <c r="Z791" t="s">
        <v>12069</v>
      </c>
      <c r="AA791" t="s">
        <v>12070</v>
      </c>
      <c r="AB791" t="s">
        <v>12071</v>
      </c>
      <c r="AC791" t="s">
        <v>74</v>
      </c>
      <c r="AD791" t="s">
        <v>74</v>
      </c>
      <c r="AE791" t="s">
        <v>74</v>
      </c>
      <c r="AF791" t="s">
        <v>74</v>
      </c>
      <c r="AG791">
        <v>17</v>
      </c>
      <c r="AH791">
        <v>19</v>
      </c>
      <c r="AI791">
        <v>21</v>
      </c>
      <c r="AJ791">
        <v>0</v>
      </c>
      <c r="AK791">
        <v>4</v>
      </c>
      <c r="AL791" t="s">
        <v>4487</v>
      </c>
      <c r="AM791" t="s">
        <v>2541</v>
      </c>
      <c r="AN791" t="s">
        <v>4488</v>
      </c>
      <c r="AO791" t="s">
        <v>5142</v>
      </c>
      <c r="AP791" t="s">
        <v>74</v>
      </c>
      <c r="AQ791" t="s">
        <v>74</v>
      </c>
      <c r="AR791" t="s">
        <v>5144</v>
      </c>
      <c r="AS791" t="s">
        <v>5145</v>
      </c>
      <c r="AT791" t="s">
        <v>12072</v>
      </c>
      <c r="AU791">
        <v>2005</v>
      </c>
      <c r="AV791">
        <v>32</v>
      </c>
      <c r="AW791">
        <v>16</v>
      </c>
      <c r="AX791" t="s">
        <v>74</v>
      </c>
      <c r="AY791" t="s">
        <v>74</v>
      </c>
      <c r="AZ791" t="s">
        <v>74</v>
      </c>
      <c r="BA791" t="s">
        <v>74</v>
      </c>
      <c r="BB791" t="s">
        <v>74</v>
      </c>
      <c r="BC791" t="s">
        <v>74</v>
      </c>
      <c r="BD791" t="s">
        <v>12073</v>
      </c>
      <c r="BE791" t="s">
        <v>12074</v>
      </c>
      <c r="BF791" t="str">
        <f>HYPERLINK("http://dx.doi.org/10.1029/2005GL023581","http://dx.doi.org/10.1029/2005GL023581")</f>
        <v>http://dx.doi.org/10.1029/2005GL023581</v>
      </c>
      <c r="BG791" t="s">
        <v>74</v>
      </c>
      <c r="BH791" t="s">
        <v>74</v>
      </c>
      <c r="BI791">
        <v>5</v>
      </c>
      <c r="BJ791" t="s">
        <v>1129</v>
      </c>
      <c r="BK791" t="s">
        <v>98</v>
      </c>
      <c r="BL791" t="s">
        <v>1130</v>
      </c>
      <c r="BM791" t="s">
        <v>12075</v>
      </c>
      <c r="BN791" t="s">
        <v>74</v>
      </c>
      <c r="BO791" t="s">
        <v>74</v>
      </c>
      <c r="BP791" t="s">
        <v>74</v>
      </c>
      <c r="BQ791" t="s">
        <v>74</v>
      </c>
      <c r="BR791" t="s">
        <v>101</v>
      </c>
      <c r="BS791" t="s">
        <v>12076</v>
      </c>
      <c r="BT791" t="str">
        <f>HYPERLINK("https%3A%2F%2Fwww.webofscience.com%2Fwos%2Fwoscc%2Ffull-record%2FWOS:000231569000004","View Full Record in Web of Science")</f>
        <v>View Full Record in Web of Science</v>
      </c>
    </row>
    <row r="792" spans="1:72" x14ac:dyDescent="0.15">
      <c r="A792" t="s">
        <v>72</v>
      </c>
      <c r="B792" t="s">
        <v>12077</v>
      </c>
      <c r="C792" t="s">
        <v>74</v>
      </c>
      <c r="D792" t="s">
        <v>74</v>
      </c>
      <c r="E792" t="s">
        <v>74</v>
      </c>
      <c r="F792" t="s">
        <v>12077</v>
      </c>
      <c r="G792" t="s">
        <v>74</v>
      </c>
      <c r="H792" t="s">
        <v>74</v>
      </c>
      <c r="I792" t="s">
        <v>12078</v>
      </c>
      <c r="J792" t="s">
        <v>7531</v>
      </c>
      <c r="K792" t="s">
        <v>74</v>
      </c>
      <c r="L792" t="s">
        <v>74</v>
      </c>
      <c r="M792" t="s">
        <v>77</v>
      </c>
      <c r="N792" t="s">
        <v>78</v>
      </c>
      <c r="O792" t="s">
        <v>74</v>
      </c>
      <c r="P792" t="s">
        <v>74</v>
      </c>
      <c r="Q792" t="s">
        <v>74</v>
      </c>
      <c r="R792" t="s">
        <v>74</v>
      </c>
      <c r="S792" t="s">
        <v>74</v>
      </c>
      <c r="T792" t="s">
        <v>74</v>
      </c>
      <c r="U792" t="s">
        <v>12079</v>
      </c>
      <c r="V792" t="s">
        <v>12080</v>
      </c>
      <c r="W792" t="s">
        <v>12081</v>
      </c>
      <c r="X792" t="s">
        <v>12082</v>
      </c>
      <c r="Y792" t="s">
        <v>12083</v>
      </c>
      <c r="Z792" t="s">
        <v>12084</v>
      </c>
      <c r="AA792" t="s">
        <v>12085</v>
      </c>
      <c r="AB792" t="s">
        <v>9653</v>
      </c>
      <c r="AC792" t="s">
        <v>74</v>
      </c>
      <c r="AD792" t="s">
        <v>74</v>
      </c>
      <c r="AE792" t="s">
        <v>74</v>
      </c>
      <c r="AF792" t="s">
        <v>74</v>
      </c>
      <c r="AG792">
        <v>35</v>
      </c>
      <c r="AH792">
        <v>53</v>
      </c>
      <c r="AI792">
        <v>59</v>
      </c>
      <c r="AJ792">
        <v>0</v>
      </c>
      <c r="AK792">
        <v>14</v>
      </c>
      <c r="AL792" t="s">
        <v>4487</v>
      </c>
      <c r="AM792" t="s">
        <v>2541</v>
      </c>
      <c r="AN792" t="s">
        <v>4488</v>
      </c>
      <c r="AO792" t="s">
        <v>7540</v>
      </c>
      <c r="AP792" t="s">
        <v>7541</v>
      </c>
      <c r="AQ792" t="s">
        <v>74</v>
      </c>
      <c r="AR792" t="s">
        <v>7542</v>
      </c>
      <c r="AS792" t="s">
        <v>7543</v>
      </c>
      <c r="AT792" t="s">
        <v>12086</v>
      </c>
      <c r="AU792">
        <v>2005</v>
      </c>
      <c r="AV792">
        <v>110</v>
      </c>
      <c r="AW792" t="s">
        <v>12087</v>
      </c>
      <c r="AX792" t="s">
        <v>74</v>
      </c>
      <c r="AY792" t="s">
        <v>74</v>
      </c>
      <c r="AZ792" t="s">
        <v>74</v>
      </c>
      <c r="BA792" t="s">
        <v>74</v>
      </c>
      <c r="BB792" t="s">
        <v>74</v>
      </c>
      <c r="BC792" t="s">
        <v>74</v>
      </c>
      <c r="BD792" t="s">
        <v>12088</v>
      </c>
      <c r="BE792" t="s">
        <v>12089</v>
      </c>
      <c r="BF792" t="str">
        <f>HYPERLINK("http://dx.doi.org/10.1029/2005JB003681","http://dx.doi.org/10.1029/2005JB003681")</f>
        <v>http://dx.doi.org/10.1029/2005JB003681</v>
      </c>
      <c r="BG792" t="s">
        <v>74</v>
      </c>
      <c r="BH792" t="s">
        <v>74</v>
      </c>
      <c r="BI792">
        <v>17</v>
      </c>
      <c r="BJ792" t="s">
        <v>1348</v>
      </c>
      <c r="BK792" t="s">
        <v>98</v>
      </c>
      <c r="BL792" t="s">
        <v>1348</v>
      </c>
      <c r="BM792" t="s">
        <v>12090</v>
      </c>
      <c r="BN792" t="s">
        <v>74</v>
      </c>
      <c r="BO792" t="s">
        <v>74</v>
      </c>
      <c r="BP792" t="s">
        <v>74</v>
      </c>
      <c r="BQ792" t="s">
        <v>74</v>
      </c>
      <c r="BR792" t="s">
        <v>101</v>
      </c>
      <c r="BS792" t="s">
        <v>12091</v>
      </c>
      <c r="BT792" t="str">
        <f>HYPERLINK("https%3A%2F%2Fwww.webofscience.com%2Fwos%2Fwoscc%2Ffull-record%2FWOS:000231572100002","View Full Record in Web of Science")</f>
        <v>View Full Record in Web of Science</v>
      </c>
    </row>
    <row r="793" spans="1:72" x14ac:dyDescent="0.15">
      <c r="A793" t="s">
        <v>72</v>
      </c>
      <c r="B793" t="s">
        <v>7320</v>
      </c>
      <c r="C793" t="s">
        <v>74</v>
      </c>
      <c r="D793" t="s">
        <v>74</v>
      </c>
      <c r="E793" t="s">
        <v>74</v>
      </c>
      <c r="F793" t="s">
        <v>7320</v>
      </c>
      <c r="G793" t="s">
        <v>74</v>
      </c>
      <c r="H793" t="s">
        <v>74</v>
      </c>
      <c r="I793" t="s">
        <v>12092</v>
      </c>
      <c r="J793" t="s">
        <v>5477</v>
      </c>
      <c r="K793" t="s">
        <v>74</v>
      </c>
      <c r="L793" t="s">
        <v>74</v>
      </c>
      <c r="M793" t="s">
        <v>77</v>
      </c>
      <c r="N793" t="s">
        <v>78</v>
      </c>
      <c r="O793" t="s">
        <v>74</v>
      </c>
      <c r="P793" t="s">
        <v>74</v>
      </c>
      <c r="Q793" t="s">
        <v>74</v>
      </c>
      <c r="R793" t="s">
        <v>74</v>
      </c>
      <c r="S793" t="s">
        <v>74</v>
      </c>
      <c r="T793" t="s">
        <v>12093</v>
      </c>
      <c r="U793" t="s">
        <v>12094</v>
      </c>
      <c r="V793" t="s">
        <v>12095</v>
      </c>
      <c r="W793" t="s">
        <v>7325</v>
      </c>
      <c r="X793" t="s">
        <v>3176</v>
      </c>
      <c r="Y793" t="s">
        <v>7326</v>
      </c>
      <c r="Z793" t="s">
        <v>7327</v>
      </c>
      <c r="AA793" t="s">
        <v>74</v>
      </c>
      <c r="AB793" t="s">
        <v>74</v>
      </c>
      <c r="AC793" t="s">
        <v>74</v>
      </c>
      <c r="AD793" t="s">
        <v>74</v>
      </c>
      <c r="AE793" t="s">
        <v>74</v>
      </c>
      <c r="AF793" t="s">
        <v>74</v>
      </c>
      <c r="AG793">
        <v>32</v>
      </c>
      <c r="AH793">
        <v>0</v>
      </c>
      <c r="AI793">
        <v>0</v>
      </c>
      <c r="AJ793">
        <v>1</v>
      </c>
      <c r="AK793">
        <v>4</v>
      </c>
      <c r="AL793" t="s">
        <v>7328</v>
      </c>
      <c r="AM793" t="s">
        <v>5486</v>
      </c>
      <c r="AN793" t="s">
        <v>7329</v>
      </c>
      <c r="AO793" t="s">
        <v>5488</v>
      </c>
      <c r="AP793" t="s">
        <v>74</v>
      </c>
      <c r="AQ793" t="s">
        <v>74</v>
      </c>
      <c r="AR793" t="s">
        <v>5489</v>
      </c>
      <c r="AS793" t="s">
        <v>5490</v>
      </c>
      <c r="AT793" t="s">
        <v>12096</v>
      </c>
      <c r="AU793">
        <v>2005</v>
      </c>
      <c r="AV793">
        <v>89</v>
      </c>
      <c r="AW793">
        <v>4</v>
      </c>
      <c r="AX793" t="s">
        <v>74</v>
      </c>
      <c r="AY793" t="s">
        <v>74</v>
      </c>
      <c r="AZ793" t="s">
        <v>74</v>
      </c>
      <c r="BA793" t="s">
        <v>74</v>
      </c>
      <c r="BB793">
        <v>681</v>
      </c>
      <c r="BC793">
        <v>686</v>
      </c>
      <c r="BD793" t="s">
        <v>74</v>
      </c>
      <c r="BE793" t="s">
        <v>74</v>
      </c>
      <c r="BF793" t="s">
        <v>74</v>
      </c>
      <c r="BG793" t="s">
        <v>74</v>
      </c>
      <c r="BH793" t="s">
        <v>74</v>
      </c>
      <c r="BI793">
        <v>6</v>
      </c>
      <c r="BJ793" t="s">
        <v>3495</v>
      </c>
      <c r="BK793" t="s">
        <v>98</v>
      </c>
      <c r="BL793" t="s">
        <v>3496</v>
      </c>
      <c r="BM793" t="s">
        <v>12097</v>
      </c>
      <c r="BN793" t="s">
        <v>74</v>
      </c>
      <c r="BO793" t="s">
        <v>74</v>
      </c>
      <c r="BP793" t="s">
        <v>74</v>
      </c>
      <c r="BQ793" t="s">
        <v>74</v>
      </c>
      <c r="BR793" t="s">
        <v>101</v>
      </c>
      <c r="BS793" t="s">
        <v>12098</v>
      </c>
      <c r="BT793" t="str">
        <f>HYPERLINK("https%3A%2F%2Fwww.webofscience.com%2Fwos%2Fwoscc%2Ffull-record%2FWOS:000231637800031","View Full Record in Web of Science")</f>
        <v>View Full Record in Web of Science</v>
      </c>
    </row>
    <row r="794" spans="1:72" x14ac:dyDescent="0.15">
      <c r="A794" t="s">
        <v>72</v>
      </c>
      <c r="B794" t="s">
        <v>12099</v>
      </c>
      <c r="C794" t="s">
        <v>74</v>
      </c>
      <c r="D794" t="s">
        <v>74</v>
      </c>
      <c r="E794" t="s">
        <v>74</v>
      </c>
      <c r="F794" t="s">
        <v>12099</v>
      </c>
      <c r="G794" t="s">
        <v>74</v>
      </c>
      <c r="H794" t="s">
        <v>74</v>
      </c>
      <c r="I794" t="s">
        <v>12100</v>
      </c>
      <c r="J794" t="s">
        <v>6667</v>
      </c>
      <c r="K794" t="s">
        <v>74</v>
      </c>
      <c r="L794" t="s">
        <v>74</v>
      </c>
      <c r="M794" t="s">
        <v>77</v>
      </c>
      <c r="N794" t="s">
        <v>78</v>
      </c>
      <c r="O794" t="s">
        <v>74</v>
      </c>
      <c r="P794" t="s">
        <v>74</v>
      </c>
      <c r="Q794" t="s">
        <v>74</v>
      </c>
      <c r="R794" t="s">
        <v>74</v>
      </c>
      <c r="S794" t="s">
        <v>74</v>
      </c>
      <c r="T794" t="s">
        <v>74</v>
      </c>
      <c r="U794" t="s">
        <v>12101</v>
      </c>
      <c r="V794" t="s">
        <v>12102</v>
      </c>
      <c r="W794" t="s">
        <v>12103</v>
      </c>
      <c r="X794" t="s">
        <v>12104</v>
      </c>
      <c r="Y794" t="s">
        <v>12105</v>
      </c>
      <c r="Z794" t="s">
        <v>12106</v>
      </c>
      <c r="AA794" t="s">
        <v>12107</v>
      </c>
      <c r="AB794" t="s">
        <v>12108</v>
      </c>
      <c r="AC794" t="s">
        <v>74</v>
      </c>
      <c r="AD794" t="s">
        <v>74</v>
      </c>
      <c r="AE794" t="s">
        <v>74</v>
      </c>
      <c r="AF794" t="s">
        <v>74</v>
      </c>
      <c r="AG794">
        <v>27</v>
      </c>
      <c r="AH794">
        <v>60</v>
      </c>
      <c r="AI794">
        <v>68</v>
      </c>
      <c r="AJ794">
        <v>0</v>
      </c>
      <c r="AK794">
        <v>11</v>
      </c>
      <c r="AL794" t="s">
        <v>6669</v>
      </c>
      <c r="AM794" t="s">
        <v>1055</v>
      </c>
      <c r="AN794" t="s">
        <v>6670</v>
      </c>
      <c r="AO794" t="s">
        <v>6671</v>
      </c>
      <c r="AP794" t="s">
        <v>74</v>
      </c>
      <c r="AQ794" t="s">
        <v>74</v>
      </c>
      <c r="AR794" t="s">
        <v>6667</v>
      </c>
      <c r="AS794" t="s">
        <v>6673</v>
      </c>
      <c r="AT794" t="s">
        <v>12096</v>
      </c>
      <c r="AU794">
        <v>2005</v>
      </c>
      <c r="AV794">
        <v>436</v>
      </c>
      <c r="AW794">
        <v>7054</v>
      </c>
      <c r="AX794" t="s">
        <v>74</v>
      </c>
      <c r="AY794" t="s">
        <v>74</v>
      </c>
      <c r="AZ794" t="s">
        <v>74</v>
      </c>
      <c r="BA794" t="s">
        <v>74</v>
      </c>
      <c r="BB794">
        <v>1132</v>
      </c>
      <c r="BC794">
        <v>1135</v>
      </c>
      <c r="BD794" t="s">
        <v>74</v>
      </c>
      <c r="BE794" t="s">
        <v>12109</v>
      </c>
      <c r="BF794" t="str">
        <f>HYPERLINK("http://dx.doi.org/10.1038/nature03881","http://dx.doi.org/10.1038/nature03881")</f>
        <v>http://dx.doi.org/10.1038/nature03881</v>
      </c>
      <c r="BG794" t="s">
        <v>74</v>
      </c>
      <c r="BH794" t="s">
        <v>74</v>
      </c>
      <c r="BI794">
        <v>4</v>
      </c>
      <c r="BJ794" t="s">
        <v>3495</v>
      </c>
      <c r="BK794" t="s">
        <v>98</v>
      </c>
      <c r="BL794" t="s">
        <v>3496</v>
      </c>
      <c r="BM794" t="s">
        <v>12110</v>
      </c>
      <c r="BN794">
        <v>16121174</v>
      </c>
      <c r="BO794" t="s">
        <v>74</v>
      </c>
      <c r="BP794" t="s">
        <v>74</v>
      </c>
      <c r="BQ794" t="s">
        <v>74</v>
      </c>
      <c r="BR794" t="s">
        <v>101</v>
      </c>
      <c r="BS794" t="s">
        <v>12111</v>
      </c>
      <c r="BT794" t="str">
        <f>HYPERLINK("https%3A%2F%2Fwww.webofscience.com%2Fwos%2Fwoscc%2Ffull-record%2FWOS:000231416600039","View Full Record in Web of Science")</f>
        <v>View Full Record in Web of Science</v>
      </c>
    </row>
    <row r="795" spans="1:72" x14ac:dyDescent="0.15">
      <c r="A795" t="s">
        <v>72</v>
      </c>
      <c r="B795" t="s">
        <v>12112</v>
      </c>
      <c r="C795" t="s">
        <v>74</v>
      </c>
      <c r="D795" t="s">
        <v>74</v>
      </c>
      <c r="E795" t="s">
        <v>74</v>
      </c>
      <c r="F795" t="s">
        <v>12112</v>
      </c>
      <c r="G795" t="s">
        <v>74</v>
      </c>
      <c r="H795" t="s">
        <v>74</v>
      </c>
      <c r="I795" t="s">
        <v>12113</v>
      </c>
      <c r="J795" t="s">
        <v>6088</v>
      </c>
      <c r="K795" t="s">
        <v>74</v>
      </c>
      <c r="L795" t="s">
        <v>74</v>
      </c>
      <c r="M795" t="s">
        <v>77</v>
      </c>
      <c r="N795" t="s">
        <v>2596</v>
      </c>
      <c r="O795" t="s">
        <v>74</v>
      </c>
      <c r="P795" t="s">
        <v>74</v>
      </c>
      <c r="Q795" t="s">
        <v>74</v>
      </c>
      <c r="R795" t="s">
        <v>74</v>
      </c>
      <c r="S795" t="s">
        <v>74</v>
      </c>
      <c r="T795" t="s">
        <v>74</v>
      </c>
      <c r="U795" t="s">
        <v>74</v>
      </c>
      <c r="V795" t="s">
        <v>74</v>
      </c>
      <c r="W795" t="s">
        <v>74</v>
      </c>
      <c r="X795" t="s">
        <v>74</v>
      </c>
      <c r="Y795" t="s">
        <v>74</v>
      </c>
      <c r="Z795" t="s">
        <v>74</v>
      </c>
      <c r="AA795" t="s">
        <v>74</v>
      </c>
      <c r="AB795" t="s">
        <v>74</v>
      </c>
      <c r="AC795" t="s">
        <v>74</v>
      </c>
      <c r="AD795" t="s">
        <v>74</v>
      </c>
      <c r="AE795" t="s">
        <v>74</v>
      </c>
      <c r="AF795" t="s">
        <v>74</v>
      </c>
      <c r="AG795">
        <v>0</v>
      </c>
      <c r="AH795">
        <v>0</v>
      </c>
      <c r="AI795">
        <v>0</v>
      </c>
      <c r="AJ795">
        <v>0</v>
      </c>
      <c r="AK795">
        <v>0</v>
      </c>
      <c r="AL795" t="s">
        <v>7361</v>
      </c>
      <c r="AM795" t="s">
        <v>2541</v>
      </c>
      <c r="AN795" t="s">
        <v>7362</v>
      </c>
      <c r="AO795" t="s">
        <v>7363</v>
      </c>
      <c r="AP795" t="s">
        <v>74</v>
      </c>
      <c r="AQ795" t="s">
        <v>74</v>
      </c>
      <c r="AR795" t="s">
        <v>6088</v>
      </c>
      <c r="AS795" t="s">
        <v>7365</v>
      </c>
      <c r="AT795" t="s">
        <v>12114</v>
      </c>
      <c r="AU795">
        <v>2005</v>
      </c>
      <c r="AV795">
        <v>309</v>
      </c>
      <c r="AW795">
        <v>5738</v>
      </c>
      <c r="AX795" t="s">
        <v>74</v>
      </c>
      <c r="AY795" t="s">
        <v>74</v>
      </c>
      <c r="AZ795" t="s">
        <v>74</v>
      </c>
      <c r="BA795" t="s">
        <v>74</v>
      </c>
      <c r="BB795">
        <v>1164</v>
      </c>
      <c r="BC795">
        <v>1165</v>
      </c>
      <c r="BD795" t="s">
        <v>74</v>
      </c>
      <c r="BE795" t="s">
        <v>12115</v>
      </c>
      <c r="BF795" t="str">
        <f>HYPERLINK("http://dx.doi.org/10.1126/science.309.5738.1164","http://dx.doi.org/10.1126/science.309.5738.1164")</f>
        <v>http://dx.doi.org/10.1126/science.309.5738.1164</v>
      </c>
      <c r="BG795" t="s">
        <v>74</v>
      </c>
      <c r="BH795" t="s">
        <v>74</v>
      </c>
      <c r="BI795">
        <v>2</v>
      </c>
      <c r="BJ795" t="s">
        <v>3495</v>
      </c>
      <c r="BK795" t="s">
        <v>98</v>
      </c>
      <c r="BL795" t="s">
        <v>3496</v>
      </c>
      <c r="BM795" t="s">
        <v>12116</v>
      </c>
      <c r="BN795">
        <v>16109853</v>
      </c>
      <c r="BO795" t="s">
        <v>1900</v>
      </c>
      <c r="BP795" t="s">
        <v>74</v>
      </c>
      <c r="BQ795" t="s">
        <v>74</v>
      </c>
      <c r="BR795" t="s">
        <v>101</v>
      </c>
      <c r="BS795" t="s">
        <v>12117</v>
      </c>
      <c r="BT795" t="str">
        <f>HYPERLINK("https%3A%2F%2Fwww.webofscience.com%2Fwos%2Fwoscc%2Ffull-record%2FWOS:000231395400005","View Full Record in Web of Science")</f>
        <v>View Full Record in Web of Science</v>
      </c>
    </row>
    <row r="796" spans="1:72" x14ac:dyDescent="0.15">
      <c r="A796" t="s">
        <v>72</v>
      </c>
      <c r="B796" t="s">
        <v>12118</v>
      </c>
      <c r="C796" t="s">
        <v>74</v>
      </c>
      <c r="D796" t="s">
        <v>74</v>
      </c>
      <c r="E796" t="s">
        <v>74</v>
      </c>
      <c r="F796" t="s">
        <v>12118</v>
      </c>
      <c r="G796" t="s">
        <v>74</v>
      </c>
      <c r="H796" t="s">
        <v>74</v>
      </c>
      <c r="I796" t="s">
        <v>12119</v>
      </c>
      <c r="J796" t="s">
        <v>12120</v>
      </c>
      <c r="K796" t="s">
        <v>74</v>
      </c>
      <c r="L796" t="s">
        <v>74</v>
      </c>
      <c r="M796" t="s">
        <v>77</v>
      </c>
      <c r="N796" t="s">
        <v>78</v>
      </c>
      <c r="O796" t="s">
        <v>74</v>
      </c>
      <c r="P796" t="s">
        <v>74</v>
      </c>
      <c r="Q796" t="s">
        <v>74</v>
      </c>
      <c r="R796" t="s">
        <v>74</v>
      </c>
      <c r="S796" t="s">
        <v>74</v>
      </c>
      <c r="T796" t="s">
        <v>74</v>
      </c>
      <c r="U796" t="s">
        <v>12121</v>
      </c>
      <c r="V796" t="s">
        <v>12122</v>
      </c>
      <c r="W796" t="s">
        <v>12123</v>
      </c>
      <c r="X796" t="s">
        <v>12124</v>
      </c>
      <c r="Y796" t="s">
        <v>12125</v>
      </c>
      <c r="Z796" t="s">
        <v>12126</v>
      </c>
      <c r="AA796" t="s">
        <v>12127</v>
      </c>
      <c r="AB796" t="s">
        <v>12128</v>
      </c>
      <c r="AC796" t="s">
        <v>74</v>
      </c>
      <c r="AD796" t="s">
        <v>74</v>
      </c>
      <c r="AE796" t="s">
        <v>74</v>
      </c>
      <c r="AF796" t="s">
        <v>74</v>
      </c>
      <c r="AG796">
        <v>60</v>
      </c>
      <c r="AH796">
        <v>18</v>
      </c>
      <c r="AI796">
        <v>22</v>
      </c>
      <c r="AJ796">
        <v>0</v>
      </c>
      <c r="AK796">
        <v>11</v>
      </c>
      <c r="AL796" t="s">
        <v>5368</v>
      </c>
      <c r="AM796" t="s">
        <v>2541</v>
      </c>
      <c r="AN796" t="s">
        <v>5369</v>
      </c>
      <c r="AO796" t="s">
        <v>12129</v>
      </c>
      <c r="AP796" t="s">
        <v>74</v>
      </c>
      <c r="AQ796" t="s">
        <v>74</v>
      </c>
      <c r="AR796" t="s">
        <v>12130</v>
      </c>
      <c r="AS796" t="s">
        <v>12131</v>
      </c>
      <c r="AT796" t="s">
        <v>12132</v>
      </c>
      <c r="AU796">
        <v>2005</v>
      </c>
      <c r="AV796">
        <v>109</v>
      </c>
      <c r="AW796">
        <v>32</v>
      </c>
      <c r="AX796" t="s">
        <v>74</v>
      </c>
      <c r="AY796" t="s">
        <v>74</v>
      </c>
      <c r="AZ796" t="s">
        <v>74</v>
      </c>
      <c r="BA796" t="s">
        <v>74</v>
      </c>
      <c r="BB796">
        <v>7151</v>
      </c>
      <c r="BC796">
        <v>7165</v>
      </c>
      <c r="BD796" t="s">
        <v>74</v>
      </c>
      <c r="BE796" t="s">
        <v>12133</v>
      </c>
      <c r="BF796" t="str">
        <f>HYPERLINK("http://dx.doi.org/10.1021/jp0505072","http://dx.doi.org/10.1021/jp0505072")</f>
        <v>http://dx.doi.org/10.1021/jp0505072</v>
      </c>
      <c r="BG796" t="s">
        <v>74</v>
      </c>
      <c r="BH796" t="s">
        <v>74</v>
      </c>
      <c r="BI796">
        <v>15</v>
      </c>
      <c r="BJ796" t="s">
        <v>5187</v>
      </c>
      <c r="BK796" t="s">
        <v>98</v>
      </c>
      <c r="BL796" t="s">
        <v>5188</v>
      </c>
      <c r="BM796" t="s">
        <v>12134</v>
      </c>
      <c r="BN796">
        <v>16834079</v>
      </c>
      <c r="BO796" t="s">
        <v>74</v>
      </c>
      <c r="BP796" t="s">
        <v>74</v>
      </c>
      <c r="BQ796" t="s">
        <v>74</v>
      </c>
      <c r="BR796" t="s">
        <v>101</v>
      </c>
      <c r="BS796" t="s">
        <v>12135</v>
      </c>
      <c r="BT796" t="str">
        <f>HYPERLINK("https%3A%2F%2Fwww.webofscience.com%2Fwos%2Fwoscc%2Ffull-record%2FWOS:000231178300019","View Full Record in Web of Science")</f>
        <v>View Full Record in Web of Science</v>
      </c>
    </row>
    <row r="797" spans="1:72" x14ac:dyDescent="0.15">
      <c r="A797" t="s">
        <v>72</v>
      </c>
      <c r="B797" t="s">
        <v>12136</v>
      </c>
      <c r="C797" t="s">
        <v>74</v>
      </c>
      <c r="D797" t="s">
        <v>74</v>
      </c>
      <c r="E797" t="s">
        <v>74</v>
      </c>
      <c r="F797" t="s">
        <v>12136</v>
      </c>
      <c r="G797" t="s">
        <v>74</v>
      </c>
      <c r="H797" t="s">
        <v>74</v>
      </c>
      <c r="I797" t="s">
        <v>12137</v>
      </c>
      <c r="J797" t="s">
        <v>5339</v>
      </c>
      <c r="K797" t="s">
        <v>74</v>
      </c>
      <c r="L797" t="s">
        <v>74</v>
      </c>
      <c r="M797" t="s">
        <v>77</v>
      </c>
      <c r="N797" t="s">
        <v>78</v>
      </c>
      <c r="O797" t="s">
        <v>74</v>
      </c>
      <c r="P797" t="s">
        <v>74</v>
      </c>
      <c r="Q797" t="s">
        <v>74</v>
      </c>
      <c r="R797" t="s">
        <v>74</v>
      </c>
      <c r="S797" t="s">
        <v>74</v>
      </c>
      <c r="T797" t="s">
        <v>12138</v>
      </c>
      <c r="U797" t="s">
        <v>12139</v>
      </c>
      <c r="V797" t="s">
        <v>12140</v>
      </c>
      <c r="W797" t="s">
        <v>12141</v>
      </c>
      <c r="X797" t="s">
        <v>12142</v>
      </c>
      <c r="Y797" t="s">
        <v>12143</v>
      </c>
      <c r="Z797" t="s">
        <v>4442</v>
      </c>
      <c r="AA797" t="s">
        <v>12144</v>
      </c>
      <c r="AB797" t="s">
        <v>12145</v>
      </c>
      <c r="AC797" t="s">
        <v>74</v>
      </c>
      <c r="AD797" t="s">
        <v>74</v>
      </c>
      <c r="AE797" t="s">
        <v>74</v>
      </c>
      <c r="AF797" t="s">
        <v>74</v>
      </c>
      <c r="AG797">
        <v>34</v>
      </c>
      <c r="AH797">
        <v>25</v>
      </c>
      <c r="AI797">
        <v>26</v>
      </c>
      <c r="AJ797">
        <v>1</v>
      </c>
      <c r="AK797">
        <v>22</v>
      </c>
      <c r="AL797" t="s">
        <v>3283</v>
      </c>
      <c r="AM797" t="s">
        <v>1148</v>
      </c>
      <c r="AN797" t="s">
        <v>3284</v>
      </c>
      <c r="AO797" t="s">
        <v>5349</v>
      </c>
      <c r="AP797" t="s">
        <v>5350</v>
      </c>
      <c r="AQ797" t="s">
        <v>74</v>
      </c>
      <c r="AR797" t="s">
        <v>5351</v>
      </c>
      <c r="AS797" t="s">
        <v>5352</v>
      </c>
      <c r="AT797" t="s">
        <v>12146</v>
      </c>
      <c r="AU797">
        <v>2005</v>
      </c>
      <c r="AV797">
        <v>236</v>
      </c>
      <c r="AW797" t="s">
        <v>530</v>
      </c>
      <c r="AX797" t="s">
        <v>74</v>
      </c>
      <c r="AY797" t="s">
        <v>74</v>
      </c>
      <c r="AZ797" t="s">
        <v>74</v>
      </c>
      <c r="BA797" t="s">
        <v>74</v>
      </c>
      <c r="BB797">
        <v>765</v>
      </c>
      <c r="BC797">
        <v>772</v>
      </c>
      <c r="BD797" t="s">
        <v>74</v>
      </c>
      <c r="BE797" t="s">
        <v>12147</v>
      </c>
      <c r="BF797" t="str">
        <f>HYPERLINK("http://dx.doi.org/10.1016/j.epsl.2005.05.023","http://dx.doi.org/10.1016/j.epsl.2005.05.023")</f>
        <v>http://dx.doi.org/10.1016/j.epsl.2005.05.023</v>
      </c>
      <c r="BG797" t="s">
        <v>74</v>
      </c>
      <c r="BH797" t="s">
        <v>74</v>
      </c>
      <c r="BI797">
        <v>8</v>
      </c>
      <c r="BJ797" t="s">
        <v>1348</v>
      </c>
      <c r="BK797" t="s">
        <v>98</v>
      </c>
      <c r="BL797" t="s">
        <v>1348</v>
      </c>
      <c r="BM797" t="s">
        <v>12148</v>
      </c>
      <c r="BN797" t="s">
        <v>74</v>
      </c>
      <c r="BO797" t="s">
        <v>74</v>
      </c>
      <c r="BP797" t="s">
        <v>74</v>
      </c>
      <c r="BQ797" t="s">
        <v>74</v>
      </c>
      <c r="BR797" t="s">
        <v>101</v>
      </c>
      <c r="BS797" t="s">
        <v>12149</v>
      </c>
      <c r="BT797" t="str">
        <f>HYPERLINK("https%3A%2F%2Fwww.webofscience.com%2Fwos%2Fwoscc%2Ffull-record%2FWOS:000232047200015","View Full Record in Web of Science")</f>
        <v>View Full Record in Web of Science</v>
      </c>
    </row>
    <row r="798" spans="1:72" x14ac:dyDescent="0.15">
      <c r="A798" t="s">
        <v>72</v>
      </c>
      <c r="B798" t="s">
        <v>12150</v>
      </c>
      <c r="C798" t="s">
        <v>74</v>
      </c>
      <c r="D798" t="s">
        <v>74</v>
      </c>
      <c r="E798" t="s">
        <v>74</v>
      </c>
      <c r="F798" t="s">
        <v>12150</v>
      </c>
      <c r="G798" t="s">
        <v>74</v>
      </c>
      <c r="H798" t="s">
        <v>74</v>
      </c>
      <c r="I798" t="s">
        <v>12151</v>
      </c>
      <c r="J798" t="s">
        <v>8800</v>
      </c>
      <c r="K798" t="s">
        <v>74</v>
      </c>
      <c r="L798" t="s">
        <v>74</v>
      </c>
      <c r="M798" t="s">
        <v>77</v>
      </c>
      <c r="N798" t="s">
        <v>78</v>
      </c>
      <c r="O798" t="s">
        <v>74</v>
      </c>
      <c r="P798" t="s">
        <v>74</v>
      </c>
      <c r="Q798" t="s">
        <v>74</v>
      </c>
      <c r="R798" t="s">
        <v>74</v>
      </c>
      <c r="S798" t="s">
        <v>74</v>
      </c>
      <c r="T798" t="s">
        <v>74</v>
      </c>
      <c r="U798" t="s">
        <v>12152</v>
      </c>
      <c r="V798" t="s">
        <v>12153</v>
      </c>
      <c r="W798" t="s">
        <v>12154</v>
      </c>
      <c r="X798" t="s">
        <v>12155</v>
      </c>
      <c r="Y798" t="s">
        <v>12156</v>
      </c>
      <c r="Z798" t="s">
        <v>12157</v>
      </c>
      <c r="AA798" t="s">
        <v>74</v>
      </c>
      <c r="AB798" t="s">
        <v>74</v>
      </c>
      <c r="AC798" t="s">
        <v>74</v>
      </c>
      <c r="AD798" t="s">
        <v>74</v>
      </c>
      <c r="AE798" t="s">
        <v>74</v>
      </c>
      <c r="AF798" t="s">
        <v>74</v>
      </c>
      <c r="AG798">
        <v>26</v>
      </c>
      <c r="AH798">
        <v>41</v>
      </c>
      <c r="AI798">
        <v>44</v>
      </c>
      <c r="AJ798">
        <v>1</v>
      </c>
      <c r="AK798">
        <v>11</v>
      </c>
      <c r="AL798" t="s">
        <v>6583</v>
      </c>
      <c r="AM798" t="s">
        <v>6584</v>
      </c>
      <c r="AN798" t="s">
        <v>6585</v>
      </c>
      <c r="AO798" t="s">
        <v>8807</v>
      </c>
      <c r="AP798" t="s">
        <v>8808</v>
      </c>
      <c r="AQ798" t="s">
        <v>74</v>
      </c>
      <c r="AR798" t="s">
        <v>8809</v>
      </c>
      <c r="AS798" t="s">
        <v>8810</v>
      </c>
      <c r="AT798" t="s">
        <v>12146</v>
      </c>
      <c r="AU798">
        <v>2005</v>
      </c>
      <c r="AV798">
        <v>18</v>
      </c>
      <c r="AW798">
        <v>16</v>
      </c>
      <c r="AX798" t="s">
        <v>74</v>
      </c>
      <c r="AY798" t="s">
        <v>74</v>
      </c>
      <c r="AZ798" t="s">
        <v>74</v>
      </c>
      <c r="BA798" t="s">
        <v>74</v>
      </c>
      <c r="BB798">
        <v>3339</v>
      </c>
      <c r="BC798">
        <v>3355</v>
      </c>
      <c r="BD798" t="s">
        <v>74</v>
      </c>
      <c r="BE798" t="s">
        <v>12158</v>
      </c>
      <c r="BF798" t="str">
        <f>HYPERLINK("http://dx.doi.org/10.1175/JCLI3474.1","http://dx.doi.org/10.1175/JCLI3474.1")</f>
        <v>http://dx.doi.org/10.1175/JCLI3474.1</v>
      </c>
      <c r="BG798" t="s">
        <v>74</v>
      </c>
      <c r="BH798" t="s">
        <v>74</v>
      </c>
      <c r="BI798">
        <v>17</v>
      </c>
      <c r="BJ798" t="s">
        <v>2033</v>
      </c>
      <c r="BK798" t="s">
        <v>98</v>
      </c>
      <c r="BL798" t="s">
        <v>2033</v>
      </c>
      <c r="BM798" t="s">
        <v>12159</v>
      </c>
      <c r="BN798" t="s">
        <v>74</v>
      </c>
      <c r="BO798" t="s">
        <v>1132</v>
      </c>
      <c r="BP798" t="s">
        <v>74</v>
      </c>
      <c r="BQ798" t="s">
        <v>74</v>
      </c>
      <c r="BR798" t="s">
        <v>101</v>
      </c>
      <c r="BS798" t="s">
        <v>12160</v>
      </c>
      <c r="BT798" t="str">
        <f>HYPERLINK("https%3A%2F%2Fwww.webofscience.com%2Fwos%2Fwoscc%2Ffull-record%2FWOS:000232051600016","View Full Record in Web of Science")</f>
        <v>View Full Record in Web of Science</v>
      </c>
    </row>
    <row r="799" spans="1:72" x14ac:dyDescent="0.15">
      <c r="A799" t="s">
        <v>72</v>
      </c>
      <c r="B799" t="s">
        <v>12161</v>
      </c>
      <c r="C799" t="s">
        <v>74</v>
      </c>
      <c r="D799" t="s">
        <v>74</v>
      </c>
      <c r="E799" t="s">
        <v>74</v>
      </c>
      <c r="F799" t="s">
        <v>12161</v>
      </c>
      <c r="G799" t="s">
        <v>74</v>
      </c>
      <c r="H799" t="s">
        <v>74</v>
      </c>
      <c r="I799" t="s">
        <v>12162</v>
      </c>
      <c r="J799" t="s">
        <v>12163</v>
      </c>
      <c r="K799" t="s">
        <v>74</v>
      </c>
      <c r="L799" t="s">
        <v>74</v>
      </c>
      <c r="M799" t="s">
        <v>77</v>
      </c>
      <c r="N799" t="s">
        <v>78</v>
      </c>
      <c r="O799" t="s">
        <v>74</v>
      </c>
      <c r="P799" t="s">
        <v>74</v>
      </c>
      <c r="Q799" t="s">
        <v>74</v>
      </c>
      <c r="R799" t="s">
        <v>74</v>
      </c>
      <c r="S799" t="s">
        <v>74</v>
      </c>
      <c r="T799" t="s">
        <v>12164</v>
      </c>
      <c r="U799" t="s">
        <v>12165</v>
      </c>
      <c r="V799" t="s">
        <v>12166</v>
      </c>
      <c r="W799" t="s">
        <v>12167</v>
      </c>
      <c r="X799" t="s">
        <v>12168</v>
      </c>
      <c r="Y799" t="s">
        <v>12169</v>
      </c>
      <c r="Z799" t="s">
        <v>12170</v>
      </c>
      <c r="AA799" t="s">
        <v>12171</v>
      </c>
      <c r="AB799" t="s">
        <v>12172</v>
      </c>
      <c r="AC799" t="s">
        <v>74</v>
      </c>
      <c r="AD799" t="s">
        <v>74</v>
      </c>
      <c r="AE799" t="s">
        <v>74</v>
      </c>
      <c r="AF799" t="s">
        <v>74</v>
      </c>
      <c r="AG799">
        <v>64</v>
      </c>
      <c r="AH799">
        <v>27</v>
      </c>
      <c r="AI799">
        <v>32</v>
      </c>
      <c r="AJ799">
        <v>0</v>
      </c>
      <c r="AK799">
        <v>6</v>
      </c>
      <c r="AL799" t="s">
        <v>3283</v>
      </c>
      <c r="AM799" t="s">
        <v>1148</v>
      </c>
      <c r="AN799" t="s">
        <v>3284</v>
      </c>
      <c r="AO799" t="s">
        <v>12173</v>
      </c>
      <c r="AP799" t="s">
        <v>12174</v>
      </c>
      <c r="AQ799" t="s">
        <v>74</v>
      </c>
      <c r="AR799" t="s">
        <v>12175</v>
      </c>
      <c r="AS799" t="s">
        <v>12176</v>
      </c>
      <c r="AT799" t="s">
        <v>12146</v>
      </c>
      <c r="AU799">
        <v>2005</v>
      </c>
      <c r="AV799">
        <v>151</v>
      </c>
      <c r="AW799" t="s">
        <v>530</v>
      </c>
      <c r="AX799" t="s">
        <v>74</v>
      </c>
      <c r="AY799" t="s">
        <v>74</v>
      </c>
      <c r="AZ799" t="s">
        <v>74</v>
      </c>
      <c r="BA799" t="s">
        <v>74</v>
      </c>
      <c r="BB799">
        <v>223</v>
      </c>
      <c r="BC799">
        <v>242</v>
      </c>
      <c r="BD799" t="s">
        <v>74</v>
      </c>
      <c r="BE799" t="s">
        <v>12177</v>
      </c>
      <c r="BF799" t="str">
        <f>HYPERLINK("http://dx.doi.org/10.1016/j.pepi.2005.03.004","http://dx.doi.org/10.1016/j.pepi.2005.03.004")</f>
        <v>http://dx.doi.org/10.1016/j.pepi.2005.03.004</v>
      </c>
      <c r="BG799" t="s">
        <v>74</v>
      </c>
      <c r="BH799" t="s">
        <v>74</v>
      </c>
      <c r="BI799">
        <v>20</v>
      </c>
      <c r="BJ799" t="s">
        <v>1348</v>
      </c>
      <c r="BK799" t="s">
        <v>98</v>
      </c>
      <c r="BL799" t="s">
        <v>1348</v>
      </c>
      <c r="BM799" t="s">
        <v>12178</v>
      </c>
      <c r="BN799" t="s">
        <v>74</v>
      </c>
      <c r="BO799" t="s">
        <v>74</v>
      </c>
      <c r="BP799" t="s">
        <v>74</v>
      </c>
      <c r="BQ799" t="s">
        <v>74</v>
      </c>
      <c r="BR799" t="s">
        <v>101</v>
      </c>
      <c r="BS799" t="s">
        <v>12179</v>
      </c>
      <c r="BT799" t="str">
        <f>HYPERLINK("https%3A%2F%2Fwww.webofscience.com%2Fwos%2Fwoscc%2Ffull-record%2FWOS:000231078100004","View Full Record in Web of Science")</f>
        <v>View Full Record in Web of Science</v>
      </c>
    </row>
    <row r="800" spans="1:72" x14ac:dyDescent="0.15">
      <c r="A800" t="s">
        <v>72</v>
      </c>
      <c r="B800" t="s">
        <v>12180</v>
      </c>
      <c r="C800" t="s">
        <v>74</v>
      </c>
      <c r="D800" t="s">
        <v>74</v>
      </c>
      <c r="E800" t="s">
        <v>74</v>
      </c>
      <c r="F800" t="s">
        <v>12180</v>
      </c>
      <c r="G800" t="s">
        <v>74</v>
      </c>
      <c r="H800" t="s">
        <v>74</v>
      </c>
      <c r="I800" t="s">
        <v>12181</v>
      </c>
      <c r="J800" t="s">
        <v>12182</v>
      </c>
      <c r="K800" t="s">
        <v>74</v>
      </c>
      <c r="L800" t="s">
        <v>74</v>
      </c>
      <c r="M800" t="s">
        <v>77</v>
      </c>
      <c r="N800" t="s">
        <v>78</v>
      </c>
      <c r="O800" t="s">
        <v>74</v>
      </c>
      <c r="P800" t="s">
        <v>74</v>
      </c>
      <c r="Q800" t="s">
        <v>74</v>
      </c>
      <c r="R800" t="s">
        <v>74</v>
      </c>
      <c r="S800" t="s">
        <v>74</v>
      </c>
      <c r="T800" t="s">
        <v>12183</v>
      </c>
      <c r="U800" t="s">
        <v>12184</v>
      </c>
      <c r="V800" t="s">
        <v>12185</v>
      </c>
      <c r="W800" t="s">
        <v>12186</v>
      </c>
      <c r="X800" t="s">
        <v>6999</v>
      </c>
      <c r="Y800" t="s">
        <v>12187</v>
      </c>
      <c r="Z800" t="s">
        <v>12188</v>
      </c>
      <c r="AA800" t="s">
        <v>12189</v>
      </c>
      <c r="AB800" t="s">
        <v>12190</v>
      </c>
      <c r="AC800" t="s">
        <v>74</v>
      </c>
      <c r="AD800" t="s">
        <v>74</v>
      </c>
      <c r="AE800" t="s">
        <v>74</v>
      </c>
      <c r="AF800" t="s">
        <v>74</v>
      </c>
      <c r="AG800">
        <v>72</v>
      </c>
      <c r="AH800">
        <v>105</v>
      </c>
      <c r="AI800">
        <v>111</v>
      </c>
      <c r="AJ800">
        <v>0</v>
      </c>
      <c r="AK800">
        <v>13</v>
      </c>
      <c r="AL800" t="s">
        <v>3283</v>
      </c>
      <c r="AM800" t="s">
        <v>1148</v>
      </c>
      <c r="AN800" t="s">
        <v>3284</v>
      </c>
      <c r="AO800" t="s">
        <v>12191</v>
      </c>
      <c r="AP800" t="s">
        <v>12192</v>
      </c>
      <c r="AQ800" t="s">
        <v>74</v>
      </c>
      <c r="AR800" t="s">
        <v>12182</v>
      </c>
      <c r="AS800" t="s">
        <v>12193</v>
      </c>
      <c r="AT800" t="s">
        <v>12146</v>
      </c>
      <c r="AU800">
        <v>2005</v>
      </c>
      <c r="AV800">
        <v>405</v>
      </c>
      <c r="AW800" t="s">
        <v>4815</v>
      </c>
      <c r="AX800" t="s">
        <v>74</v>
      </c>
      <c r="AY800" t="s">
        <v>74</v>
      </c>
      <c r="AZ800" t="s">
        <v>74</v>
      </c>
      <c r="BA800" t="s">
        <v>74</v>
      </c>
      <c r="BB800">
        <v>25</v>
      </c>
      <c r="BC800">
        <v>46</v>
      </c>
      <c r="BD800" t="s">
        <v>74</v>
      </c>
      <c r="BE800" t="s">
        <v>12194</v>
      </c>
      <c r="BF800" t="str">
        <f>HYPERLINK("http://dx.doi.org/10.1016/j.tecto.2005.05.004","http://dx.doi.org/10.1016/j.tecto.2005.05.004")</f>
        <v>http://dx.doi.org/10.1016/j.tecto.2005.05.004</v>
      </c>
      <c r="BG800" t="s">
        <v>74</v>
      </c>
      <c r="BH800" t="s">
        <v>74</v>
      </c>
      <c r="BI800">
        <v>22</v>
      </c>
      <c r="BJ800" t="s">
        <v>1348</v>
      </c>
      <c r="BK800" t="s">
        <v>98</v>
      </c>
      <c r="BL800" t="s">
        <v>1348</v>
      </c>
      <c r="BM800" t="s">
        <v>12195</v>
      </c>
      <c r="BN800" t="s">
        <v>74</v>
      </c>
      <c r="BO800" t="s">
        <v>722</v>
      </c>
      <c r="BP800" t="s">
        <v>74</v>
      </c>
      <c r="BQ800" t="s">
        <v>74</v>
      </c>
      <c r="BR800" t="s">
        <v>101</v>
      </c>
      <c r="BS800" t="s">
        <v>12196</v>
      </c>
      <c r="BT800" t="str">
        <f>HYPERLINK("https%3A%2F%2Fwww.webofscience.com%2Fwos%2Fwoscc%2Ffull-record%2FWOS:000231303800002","View Full Record in Web of Science")</f>
        <v>View Full Record in Web of Science</v>
      </c>
    </row>
    <row r="801" spans="1:72" x14ac:dyDescent="0.15">
      <c r="A801" t="s">
        <v>72</v>
      </c>
      <c r="B801" t="s">
        <v>12197</v>
      </c>
      <c r="C801" t="s">
        <v>74</v>
      </c>
      <c r="D801" t="s">
        <v>74</v>
      </c>
      <c r="E801" t="s">
        <v>74</v>
      </c>
      <c r="F801" t="s">
        <v>12197</v>
      </c>
      <c r="G801" t="s">
        <v>74</v>
      </c>
      <c r="H801" t="s">
        <v>74</v>
      </c>
      <c r="I801" t="s">
        <v>12198</v>
      </c>
      <c r="J801" t="s">
        <v>5063</v>
      </c>
      <c r="K801" t="s">
        <v>74</v>
      </c>
      <c r="L801" t="s">
        <v>74</v>
      </c>
      <c r="M801" t="s">
        <v>77</v>
      </c>
      <c r="N801" t="s">
        <v>78</v>
      </c>
      <c r="O801" t="s">
        <v>74</v>
      </c>
      <c r="P801" t="s">
        <v>74</v>
      </c>
      <c r="Q801" t="s">
        <v>74</v>
      </c>
      <c r="R801" t="s">
        <v>74</v>
      </c>
      <c r="S801" t="s">
        <v>74</v>
      </c>
      <c r="T801" t="s">
        <v>74</v>
      </c>
      <c r="U801" t="s">
        <v>12199</v>
      </c>
      <c r="V801" t="s">
        <v>12200</v>
      </c>
      <c r="W801" t="s">
        <v>12201</v>
      </c>
      <c r="X801" t="s">
        <v>12202</v>
      </c>
      <c r="Y801" t="s">
        <v>12203</v>
      </c>
      <c r="Z801" t="s">
        <v>12204</v>
      </c>
      <c r="AA801" t="s">
        <v>12205</v>
      </c>
      <c r="AB801" t="s">
        <v>74</v>
      </c>
      <c r="AC801" t="s">
        <v>74</v>
      </c>
      <c r="AD801" t="s">
        <v>74</v>
      </c>
      <c r="AE801" t="s">
        <v>74</v>
      </c>
      <c r="AF801" t="s">
        <v>74</v>
      </c>
      <c r="AG801">
        <v>49</v>
      </c>
      <c r="AH801">
        <v>44</v>
      </c>
      <c r="AI801">
        <v>49</v>
      </c>
      <c r="AJ801">
        <v>2</v>
      </c>
      <c r="AK801">
        <v>28</v>
      </c>
      <c r="AL801" t="s">
        <v>4487</v>
      </c>
      <c r="AM801" t="s">
        <v>2541</v>
      </c>
      <c r="AN801" t="s">
        <v>4488</v>
      </c>
      <c r="AO801" t="s">
        <v>5072</v>
      </c>
      <c r="AP801" t="s">
        <v>5073</v>
      </c>
      <c r="AQ801" t="s">
        <v>74</v>
      </c>
      <c r="AR801" t="s">
        <v>5074</v>
      </c>
      <c r="AS801" t="s">
        <v>5075</v>
      </c>
      <c r="AT801" t="s">
        <v>12206</v>
      </c>
      <c r="AU801">
        <v>2005</v>
      </c>
      <c r="AV801">
        <v>110</v>
      </c>
      <c r="AW801" t="s">
        <v>12207</v>
      </c>
      <c r="AX801" t="s">
        <v>74</v>
      </c>
      <c r="AY801" t="s">
        <v>74</v>
      </c>
      <c r="AZ801" t="s">
        <v>74</v>
      </c>
      <c r="BA801" t="s">
        <v>74</v>
      </c>
      <c r="BB801" t="s">
        <v>74</v>
      </c>
      <c r="BC801" t="s">
        <v>74</v>
      </c>
      <c r="BD801" t="s">
        <v>12208</v>
      </c>
      <c r="BE801" t="s">
        <v>12209</v>
      </c>
      <c r="BF801" t="str">
        <f>HYPERLINK("http://dx.doi.org/10.1029/2004JD005484","http://dx.doi.org/10.1029/2004JD005484")</f>
        <v>http://dx.doi.org/10.1029/2004JD005484</v>
      </c>
      <c r="BG801" t="s">
        <v>74</v>
      </c>
      <c r="BH801" t="s">
        <v>74</v>
      </c>
      <c r="BI801">
        <v>9</v>
      </c>
      <c r="BJ801" t="s">
        <v>2033</v>
      </c>
      <c r="BK801" t="s">
        <v>98</v>
      </c>
      <c r="BL801" t="s">
        <v>2033</v>
      </c>
      <c r="BM801" t="s">
        <v>12210</v>
      </c>
      <c r="BN801" t="s">
        <v>74</v>
      </c>
      <c r="BO801" t="s">
        <v>2728</v>
      </c>
      <c r="BP801" t="s">
        <v>74</v>
      </c>
      <c r="BQ801" t="s">
        <v>74</v>
      </c>
      <c r="BR801" t="s">
        <v>101</v>
      </c>
      <c r="BS801" t="s">
        <v>12211</v>
      </c>
      <c r="BT801" t="str">
        <f>HYPERLINK("https%3A%2F%2Fwww.webofscience.com%2Fwos%2Fwoscc%2Ffull-record%2FWOS:000231381700002","View Full Record in Web of Science")</f>
        <v>View Full Record in Web of Science</v>
      </c>
    </row>
    <row r="802" spans="1:72" x14ac:dyDescent="0.15">
      <c r="A802" t="s">
        <v>72</v>
      </c>
      <c r="B802" t="s">
        <v>12212</v>
      </c>
      <c r="C802" t="s">
        <v>74</v>
      </c>
      <c r="D802" t="s">
        <v>74</v>
      </c>
      <c r="E802" t="s">
        <v>74</v>
      </c>
      <c r="F802" t="s">
        <v>12212</v>
      </c>
      <c r="G802" t="s">
        <v>74</v>
      </c>
      <c r="H802" t="s">
        <v>74</v>
      </c>
      <c r="I802" t="s">
        <v>12213</v>
      </c>
      <c r="J802" t="s">
        <v>5063</v>
      </c>
      <c r="K802" t="s">
        <v>74</v>
      </c>
      <c r="L802" t="s">
        <v>74</v>
      </c>
      <c r="M802" t="s">
        <v>77</v>
      </c>
      <c r="N802" t="s">
        <v>78</v>
      </c>
      <c r="O802" t="s">
        <v>74</v>
      </c>
      <c r="P802" t="s">
        <v>74</v>
      </c>
      <c r="Q802" t="s">
        <v>74</v>
      </c>
      <c r="R802" t="s">
        <v>74</v>
      </c>
      <c r="S802" t="s">
        <v>74</v>
      </c>
      <c r="T802" t="s">
        <v>74</v>
      </c>
      <c r="U802" t="s">
        <v>12214</v>
      </c>
      <c r="V802" t="s">
        <v>12215</v>
      </c>
      <c r="W802" t="s">
        <v>12216</v>
      </c>
      <c r="X802" t="s">
        <v>12217</v>
      </c>
      <c r="Y802" t="s">
        <v>12218</v>
      </c>
      <c r="Z802" t="s">
        <v>12219</v>
      </c>
      <c r="AA802" t="s">
        <v>74</v>
      </c>
      <c r="AB802" t="s">
        <v>74</v>
      </c>
      <c r="AC802" t="s">
        <v>74</v>
      </c>
      <c r="AD802" t="s">
        <v>74</v>
      </c>
      <c r="AE802" t="s">
        <v>74</v>
      </c>
      <c r="AF802" t="s">
        <v>74</v>
      </c>
      <c r="AG802">
        <v>86</v>
      </c>
      <c r="AH802">
        <v>12</v>
      </c>
      <c r="AI802">
        <v>18</v>
      </c>
      <c r="AJ802">
        <v>3</v>
      </c>
      <c r="AK802">
        <v>25</v>
      </c>
      <c r="AL802" t="s">
        <v>4487</v>
      </c>
      <c r="AM802" t="s">
        <v>2541</v>
      </c>
      <c r="AN802" t="s">
        <v>4488</v>
      </c>
      <c r="AO802" t="s">
        <v>5072</v>
      </c>
      <c r="AP802" t="s">
        <v>5073</v>
      </c>
      <c r="AQ802" t="s">
        <v>74</v>
      </c>
      <c r="AR802" t="s">
        <v>5074</v>
      </c>
      <c r="AS802" t="s">
        <v>5075</v>
      </c>
      <c r="AT802" t="s">
        <v>12206</v>
      </c>
      <c r="AU802">
        <v>2005</v>
      </c>
      <c r="AV802">
        <v>110</v>
      </c>
      <c r="AW802" t="s">
        <v>12207</v>
      </c>
      <c r="AX802" t="s">
        <v>74</v>
      </c>
      <c r="AY802" t="s">
        <v>74</v>
      </c>
      <c r="AZ802" t="s">
        <v>74</v>
      </c>
      <c r="BA802" t="s">
        <v>74</v>
      </c>
      <c r="BB802" t="s">
        <v>74</v>
      </c>
      <c r="BC802" t="s">
        <v>74</v>
      </c>
      <c r="BD802" t="s">
        <v>12220</v>
      </c>
      <c r="BE802" t="s">
        <v>12221</v>
      </c>
      <c r="BF802" t="str">
        <f>HYPERLINK("http://dx.doi.org/10.1029/2005JD005859","http://dx.doi.org/10.1029/2005JD005859")</f>
        <v>http://dx.doi.org/10.1029/2005JD005859</v>
      </c>
      <c r="BG802" t="s">
        <v>74</v>
      </c>
      <c r="BH802" t="s">
        <v>74</v>
      </c>
      <c r="BI802">
        <v>14</v>
      </c>
      <c r="BJ802" t="s">
        <v>2033</v>
      </c>
      <c r="BK802" t="s">
        <v>98</v>
      </c>
      <c r="BL802" t="s">
        <v>2033</v>
      </c>
      <c r="BM802" t="s">
        <v>12210</v>
      </c>
      <c r="BN802" t="s">
        <v>74</v>
      </c>
      <c r="BO802" t="s">
        <v>722</v>
      </c>
      <c r="BP802" t="s">
        <v>74</v>
      </c>
      <c r="BQ802" t="s">
        <v>74</v>
      </c>
      <c r="BR802" t="s">
        <v>101</v>
      </c>
      <c r="BS802" t="s">
        <v>12222</v>
      </c>
      <c r="BT802" t="str">
        <f>HYPERLINK("https%3A%2F%2Fwww.webofscience.com%2Fwos%2Fwoscc%2Ffull-record%2FWOS:000231381700004","View Full Record in Web of Science")</f>
        <v>View Full Record in Web of Science</v>
      </c>
    </row>
    <row r="803" spans="1:72" x14ac:dyDescent="0.15">
      <c r="A803" t="s">
        <v>72</v>
      </c>
      <c r="B803" t="s">
        <v>12223</v>
      </c>
      <c r="C803" t="s">
        <v>74</v>
      </c>
      <c r="D803" t="s">
        <v>74</v>
      </c>
      <c r="E803" t="s">
        <v>74</v>
      </c>
      <c r="F803" t="s">
        <v>12223</v>
      </c>
      <c r="G803" t="s">
        <v>74</v>
      </c>
      <c r="H803" t="s">
        <v>74</v>
      </c>
      <c r="I803" t="s">
        <v>12224</v>
      </c>
      <c r="J803" t="s">
        <v>5251</v>
      </c>
      <c r="K803" t="s">
        <v>74</v>
      </c>
      <c r="L803" t="s">
        <v>74</v>
      </c>
      <c r="M803" t="s">
        <v>77</v>
      </c>
      <c r="N803" t="s">
        <v>78</v>
      </c>
      <c r="O803" t="s">
        <v>74</v>
      </c>
      <c r="P803" t="s">
        <v>74</v>
      </c>
      <c r="Q803" t="s">
        <v>74</v>
      </c>
      <c r="R803" t="s">
        <v>74</v>
      </c>
      <c r="S803" t="s">
        <v>74</v>
      </c>
      <c r="T803" t="s">
        <v>74</v>
      </c>
      <c r="U803" t="s">
        <v>12225</v>
      </c>
      <c r="V803" t="s">
        <v>12226</v>
      </c>
      <c r="W803" t="s">
        <v>12227</v>
      </c>
      <c r="X803" t="s">
        <v>12228</v>
      </c>
      <c r="Y803" t="s">
        <v>12229</v>
      </c>
      <c r="Z803" t="s">
        <v>12230</v>
      </c>
      <c r="AA803" t="s">
        <v>12231</v>
      </c>
      <c r="AB803" t="s">
        <v>12232</v>
      </c>
      <c r="AC803" t="s">
        <v>74</v>
      </c>
      <c r="AD803" t="s">
        <v>74</v>
      </c>
      <c r="AE803" t="s">
        <v>74</v>
      </c>
      <c r="AF803" t="s">
        <v>74</v>
      </c>
      <c r="AG803">
        <v>78</v>
      </c>
      <c r="AH803">
        <v>17</v>
      </c>
      <c r="AI803">
        <v>21</v>
      </c>
      <c r="AJ803">
        <v>1</v>
      </c>
      <c r="AK803">
        <v>19</v>
      </c>
      <c r="AL803" t="s">
        <v>4487</v>
      </c>
      <c r="AM803" t="s">
        <v>2541</v>
      </c>
      <c r="AN803" t="s">
        <v>4488</v>
      </c>
      <c r="AO803" t="s">
        <v>5260</v>
      </c>
      <c r="AP803" t="s">
        <v>5261</v>
      </c>
      <c r="AQ803" t="s">
        <v>74</v>
      </c>
      <c r="AR803" t="s">
        <v>5262</v>
      </c>
      <c r="AS803" t="s">
        <v>5263</v>
      </c>
      <c r="AT803" t="s">
        <v>12206</v>
      </c>
      <c r="AU803">
        <v>2005</v>
      </c>
      <c r="AV803">
        <v>110</v>
      </c>
      <c r="AW803" t="s">
        <v>12233</v>
      </c>
      <c r="AX803" t="s">
        <v>74</v>
      </c>
      <c r="AY803" t="s">
        <v>74</v>
      </c>
      <c r="AZ803" t="s">
        <v>74</v>
      </c>
      <c r="BA803" t="s">
        <v>74</v>
      </c>
      <c r="BB803" t="s">
        <v>74</v>
      </c>
      <c r="BC803" t="s">
        <v>74</v>
      </c>
      <c r="BD803" t="s">
        <v>12234</v>
      </c>
      <c r="BE803" t="s">
        <v>12235</v>
      </c>
      <c r="BF803" t="str">
        <f>HYPERLINK("http://dx.doi.org/10.1029/2004JC002722","http://dx.doi.org/10.1029/2004JC002722")</f>
        <v>http://dx.doi.org/10.1029/2004JC002722</v>
      </c>
      <c r="BG803" t="s">
        <v>74</v>
      </c>
      <c r="BH803" t="s">
        <v>74</v>
      </c>
      <c r="BI803">
        <v>11</v>
      </c>
      <c r="BJ803" t="s">
        <v>629</v>
      </c>
      <c r="BK803" t="s">
        <v>98</v>
      </c>
      <c r="BL803" t="s">
        <v>629</v>
      </c>
      <c r="BM803" t="s">
        <v>12236</v>
      </c>
      <c r="BN803" t="s">
        <v>74</v>
      </c>
      <c r="BO803" t="s">
        <v>74</v>
      </c>
      <c r="BP803" t="s">
        <v>74</v>
      </c>
      <c r="BQ803" t="s">
        <v>74</v>
      </c>
      <c r="BR803" t="s">
        <v>101</v>
      </c>
      <c r="BS803" t="s">
        <v>12237</v>
      </c>
      <c r="BT803" t="str">
        <f>HYPERLINK("https%3A%2F%2Fwww.webofscience.com%2Fwos%2Fwoscc%2Ffull-record%2FWOS:000231382300001","View Full Record in Web of Science")</f>
        <v>View Full Record in Web of Science</v>
      </c>
    </row>
    <row r="804" spans="1:72" x14ac:dyDescent="0.15">
      <c r="A804" t="s">
        <v>72</v>
      </c>
      <c r="B804" t="s">
        <v>12238</v>
      </c>
      <c r="C804" t="s">
        <v>74</v>
      </c>
      <c r="D804" t="s">
        <v>74</v>
      </c>
      <c r="E804" t="s">
        <v>74</v>
      </c>
      <c r="F804" t="s">
        <v>12238</v>
      </c>
      <c r="G804" t="s">
        <v>74</v>
      </c>
      <c r="H804" t="s">
        <v>74</v>
      </c>
      <c r="I804" t="s">
        <v>12239</v>
      </c>
      <c r="J804" t="s">
        <v>7721</v>
      </c>
      <c r="K804" t="s">
        <v>74</v>
      </c>
      <c r="L804" t="s">
        <v>74</v>
      </c>
      <c r="M804" t="s">
        <v>77</v>
      </c>
      <c r="N804" t="s">
        <v>78</v>
      </c>
      <c r="O804" t="s">
        <v>74</v>
      </c>
      <c r="P804" t="s">
        <v>74</v>
      </c>
      <c r="Q804" t="s">
        <v>74</v>
      </c>
      <c r="R804" t="s">
        <v>74</v>
      </c>
      <c r="S804" t="s">
        <v>74</v>
      </c>
      <c r="T804" t="s">
        <v>74</v>
      </c>
      <c r="U804" t="s">
        <v>12240</v>
      </c>
      <c r="V804" t="s">
        <v>12241</v>
      </c>
      <c r="W804" t="s">
        <v>12242</v>
      </c>
      <c r="X804" t="s">
        <v>12243</v>
      </c>
      <c r="Y804" t="s">
        <v>12244</v>
      </c>
      <c r="Z804" t="s">
        <v>12245</v>
      </c>
      <c r="AA804" t="s">
        <v>12246</v>
      </c>
      <c r="AB804" t="s">
        <v>12247</v>
      </c>
      <c r="AC804" t="s">
        <v>74</v>
      </c>
      <c r="AD804" t="s">
        <v>74</v>
      </c>
      <c r="AE804" t="s">
        <v>74</v>
      </c>
      <c r="AF804" t="s">
        <v>74</v>
      </c>
      <c r="AG804">
        <v>25</v>
      </c>
      <c r="AH804">
        <v>41</v>
      </c>
      <c r="AI804">
        <v>43</v>
      </c>
      <c r="AJ804">
        <v>0</v>
      </c>
      <c r="AK804">
        <v>7</v>
      </c>
      <c r="AL804" t="s">
        <v>4487</v>
      </c>
      <c r="AM804" t="s">
        <v>2541</v>
      </c>
      <c r="AN804" t="s">
        <v>4488</v>
      </c>
      <c r="AO804" t="s">
        <v>7728</v>
      </c>
      <c r="AP804" t="s">
        <v>7729</v>
      </c>
      <c r="AQ804" t="s">
        <v>74</v>
      </c>
      <c r="AR804" t="s">
        <v>7730</v>
      </c>
      <c r="AS804" t="s">
        <v>7731</v>
      </c>
      <c r="AT804" t="s">
        <v>12206</v>
      </c>
      <c r="AU804">
        <v>2005</v>
      </c>
      <c r="AV804">
        <v>110</v>
      </c>
      <c r="AW804" t="s">
        <v>10528</v>
      </c>
      <c r="AX804" t="s">
        <v>74</v>
      </c>
      <c r="AY804" t="s">
        <v>74</v>
      </c>
      <c r="AZ804" t="s">
        <v>74</v>
      </c>
      <c r="BA804" t="s">
        <v>74</v>
      </c>
      <c r="BB804" t="s">
        <v>74</v>
      </c>
      <c r="BC804" t="s">
        <v>74</v>
      </c>
      <c r="BD804" t="s">
        <v>12248</v>
      </c>
      <c r="BE804" t="s">
        <v>12249</v>
      </c>
      <c r="BF804" t="str">
        <f>HYPERLINK("http://dx.doi.org/10.1029/2005JA011053","http://dx.doi.org/10.1029/2005JA011053")</f>
        <v>http://dx.doi.org/10.1029/2005JA011053</v>
      </c>
      <c r="BG804" t="s">
        <v>74</v>
      </c>
      <c r="BH804" t="s">
        <v>74</v>
      </c>
      <c r="BI804">
        <v>9</v>
      </c>
      <c r="BJ804" t="s">
        <v>4376</v>
      </c>
      <c r="BK804" t="s">
        <v>98</v>
      </c>
      <c r="BL804" t="s">
        <v>4376</v>
      </c>
      <c r="BM804" t="s">
        <v>12250</v>
      </c>
      <c r="BN804" t="s">
        <v>74</v>
      </c>
      <c r="BO804" t="s">
        <v>1900</v>
      </c>
      <c r="BP804" t="s">
        <v>74</v>
      </c>
      <c r="BQ804" t="s">
        <v>74</v>
      </c>
      <c r="BR804" t="s">
        <v>101</v>
      </c>
      <c r="BS804" t="s">
        <v>12251</v>
      </c>
      <c r="BT804" t="str">
        <f>HYPERLINK("https%3A%2F%2Fwww.webofscience.com%2Fwos%2Fwoscc%2Ffull-record%2FWOS:000231383800003","View Full Record in Web of Science")</f>
        <v>View Full Record in Web of Science</v>
      </c>
    </row>
    <row r="805" spans="1:72" x14ac:dyDescent="0.15">
      <c r="A805" t="s">
        <v>72</v>
      </c>
      <c r="B805" t="s">
        <v>12252</v>
      </c>
      <c r="C805" t="s">
        <v>74</v>
      </c>
      <c r="D805" t="s">
        <v>74</v>
      </c>
      <c r="E805" t="s">
        <v>74</v>
      </c>
      <c r="F805" t="s">
        <v>12252</v>
      </c>
      <c r="G805" t="s">
        <v>74</v>
      </c>
      <c r="H805" t="s">
        <v>74</v>
      </c>
      <c r="I805" t="s">
        <v>12253</v>
      </c>
      <c r="J805" t="s">
        <v>7407</v>
      </c>
      <c r="K805" t="s">
        <v>74</v>
      </c>
      <c r="L805" t="s">
        <v>74</v>
      </c>
      <c r="M805" t="s">
        <v>77</v>
      </c>
      <c r="N805" t="s">
        <v>78</v>
      </c>
      <c r="O805" t="s">
        <v>74</v>
      </c>
      <c r="P805" t="s">
        <v>74</v>
      </c>
      <c r="Q805" t="s">
        <v>74</v>
      </c>
      <c r="R805" t="s">
        <v>74</v>
      </c>
      <c r="S805" t="s">
        <v>74</v>
      </c>
      <c r="T805" t="s">
        <v>74</v>
      </c>
      <c r="U805" t="s">
        <v>12254</v>
      </c>
      <c r="V805" t="s">
        <v>12255</v>
      </c>
      <c r="W805" t="s">
        <v>12256</v>
      </c>
      <c r="X805" t="s">
        <v>12257</v>
      </c>
      <c r="Y805" t="s">
        <v>12258</v>
      </c>
      <c r="Z805" t="s">
        <v>12259</v>
      </c>
      <c r="AA805" t="s">
        <v>12260</v>
      </c>
      <c r="AB805" t="s">
        <v>12261</v>
      </c>
      <c r="AC805" t="s">
        <v>74</v>
      </c>
      <c r="AD805" t="s">
        <v>74</v>
      </c>
      <c r="AE805" t="s">
        <v>74</v>
      </c>
      <c r="AF805" t="s">
        <v>74</v>
      </c>
      <c r="AG805">
        <v>100</v>
      </c>
      <c r="AH805">
        <v>70</v>
      </c>
      <c r="AI805">
        <v>75</v>
      </c>
      <c r="AJ805">
        <v>0</v>
      </c>
      <c r="AK805">
        <v>7</v>
      </c>
      <c r="AL805" t="s">
        <v>431</v>
      </c>
      <c r="AM805" t="s">
        <v>432</v>
      </c>
      <c r="AN805" t="s">
        <v>433</v>
      </c>
      <c r="AO805" t="s">
        <v>7416</v>
      </c>
      <c r="AP805" t="s">
        <v>7417</v>
      </c>
      <c r="AQ805" t="s">
        <v>74</v>
      </c>
      <c r="AR805" t="s">
        <v>7418</v>
      </c>
      <c r="AS805" t="s">
        <v>7419</v>
      </c>
      <c r="AT805" t="s">
        <v>12262</v>
      </c>
      <c r="AU805">
        <v>2005</v>
      </c>
      <c r="AV805">
        <v>5</v>
      </c>
      <c r="AW805" t="s">
        <v>74</v>
      </c>
      <c r="AX805" t="s">
        <v>74</v>
      </c>
      <c r="AY805" t="s">
        <v>74</v>
      </c>
      <c r="AZ805" t="s">
        <v>74</v>
      </c>
      <c r="BA805" t="s">
        <v>74</v>
      </c>
      <c r="BB805">
        <v>2121</v>
      </c>
      <c r="BC805">
        <v>2145</v>
      </c>
      <c r="BD805" t="s">
        <v>74</v>
      </c>
      <c r="BE805" t="s">
        <v>12263</v>
      </c>
      <c r="BF805" t="str">
        <f>HYPERLINK("http://dx.doi.org/10.5194/acp-5-2121-2005","http://dx.doi.org/10.5194/acp-5-2121-2005")</f>
        <v>http://dx.doi.org/10.5194/acp-5-2121-2005</v>
      </c>
      <c r="BG805" t="s">
        <v>74</v>
      </c>
      <c r="BH805" t="s">
        <v>74</v>
      </c>
      <c r="BI805">
        <v>25</v>
      </c>
      <c r="BJ805" t="s">
        <v>6080</v>
      </c>
      <c r="BK805" t="s">
        <v>98</v>
      </c>
      <c r="BL805" t="s">
        <v>6081</v>
      </c>
      <c r="BM805" t="s">
        <v>12264</v>
      </c>
      <c r="BN805" t="s">
        <v>74</v>
      </c>
      <c r="BO805" t="s">
        <v>12265</v>
      </c>
      <c r="BP805" t="s">
        <v>74</v>
      </c>
      <c r="BQ805" t="s">
        <v>74</v>
      </c>
      <c r="BR805" t="s">
        <v>101</v>
      </c>
      <c r="BS805" t="s">
        <v>12266</v>
      </c>
      <c r="BT805" t="str">
        <f>HYPERLINK("https%3A%2F%2Fwww.webofscience.com%2Fwos%2Fwoscc%2Ffull-record%2FWOS:000231156900002","View Full Record in Web of Science")</f>
        <v>View Full Record in Web of Science</v>
      </c>
    </row>
    <row r="806" spans="1:72" x14ac:dyDescent="0.15">
      <c r="A806" t="s">
        <v>72</v>
      </c>
      <c r="B806" t="s">
        <v>12267</v>
      </c>
      <c r="C806" t="s">
        <v>74</v>
      </c>
      <c r="D806" t="s">
        <v>74</v>
      </c>
      <c r="E806" t="s">
        <v>74</v>
      </c>
      <c r="F806" t="s">
        <v>12267</v>
      </c>
      <c r="G806" t="s">
        <v>74</v>
      </c>
      <c r="H806" t="s">
        <v>74</v>
      </c>
      <c r="I806" t="s">
        <v>12268</v>
      </c>
      <c r="J806" t="s">
        <v>5234</v>
      </c>
      <c r="K806" t="s">
        <v>74</v>
      </c>
      <c r="L806" t="s">
        <v>74</v>
      </c>
      <c r="M806" t="s">
        <v>77</v>
      </c>
      <c r="N806" t="s">
        <v>78</v>
      </c>
      <c r="O806" t="s">
        <v>74</v>
      </c>
      <c r="P806" t="s">
        <v>74</v>
      </c>
      <c r="Q806" t="s">
        <v>74</v>
      </c>
      <c r="R806" t="s">
        <v>74</v>
      </c>
      <c r="S806" t="s">
        <v>74</v>
      </c>
      <c r="T806" t="s">
        <v>74</v>
      </c>
      <c r="U806" t="s">
        <v>12269</v>
      </c>
      <c r="V806" t="s">
        <v>12270</v>
      </c>
      <c r="W806" t="s">
        <v>12271</v>
      </c>
      <c r="X806" t="s">
        <v>12272</v>
      </c>
      <c r="Y806" t="s">
        <v>12273</v>
      </c>
      <c r="Z806" t="s">
        <v>12274</v>
      </c>
      <c r="AA806" t="s">
        <v>74</v>
      </c>
      <c r="AB806" t="s">
        <v>74</v>
      </c>
      <c r="AC806" t="s">
        <v>74</v>
      </c>
      <c r="AD806" t="s">
        <v>74</v>
      </c>
      <c r="AE806" t="s">
        <v>74</v>
      </c>
      <c r="AF806" t="s">
        <v>74</v>
      </c>
      <c r="AG806">
        <v>24</v>
      </c>
      <c r="AH806">
        <v>8</v>
      </c>
      <c r="AI806">
        <v>8</v>
      </c>
      <c r="AJ806">
        <v>0</v>
      </c>
      <c r="AK806">
        <v>0</v>
      </c>
      <c r="AL806" t="s">
        <v>348</v>
      </c>
      <c r="AM806" t="s">
        <v>349</v>
      </c>
      <c r="AN806" t="s">
        <v>1523</v>
      </c>
      <c r="AO806" t="s">
        <v>5241</v>
      </c>
      <c r="AP806" t="s">
        <v>5242</v>
      </c>
      <c r="AQ806" t="s">
        <v>74</v>
      </c>
      <c r="AR806" t="s">
        <v>5243</v>
      </c>
      <c r="AS806" t="s">
        <v>5244</v>
      </c>
      <c r="AT806" t="s">
        <v>12275</v>
      </c>
      <c r="AU806">
        <v>2005</v>
      </c>
      <c r="AV806">
        <v>26</v>
      </c>
      <c r="AW806">
        <v>15</v>
      </c>
      <c r="AX806" t="s">
        <v>74</v>
      </c>
      <c r="AY806" t="s">
        <v>74</v>
      </c>
      <c r="AZ806" t="s">
        <v>74</v>
      </c>
      <c r="BA806" t="s">
        <v>74</v>
      </c>
      <c r="BB806">
        <v>3123</v>
      </c>
      <c r="BC806">
        <v>3136</v>
      </c>
      <c r="BD806" t="s">
        <v>74</v>
      </c>
      <c r="BE806" t="s">
        <v>12276</v>
      </c>
      <c r="BF806" t="str">
        <f>HYPERLINK("http://dx.doi.org/10.1080/01431160500104376","http://dx.doi.org/10.1080/01431160500104376")</f>
        <v>http://dx.doi.org/10.1080/01431160500104376</v>
      </c>
      <c r="BG806" t="s">
        <v>74</v>
      </c>
      <c r="BH806" t="s">
        <v>74</v>
      </c>
      <c r="BI806">
        <v>14</v>
      </c>
      <c r="BJ806" t="s">
        <v>5246</v>
      </c>
      <c r="BK806" t="s">
        <v>98</v>
      </c>
      <c r="BL806" t="s">
        <v>5246</v>
      </c>
      <c r="BM806" t="s">
        <v>12277</v>
      </c>
      <c r="BN806" t="s">
        <v>74</v>
      </c>
      <c r="BO806" t="s">
        <v>74</v>
      </c>
      <c r="BP806" t="s">
        <v>74</v>
      </c>
      <c r="BQ806" t="s">
        <v>74</v>
      </c>
      <c r="BR806" t="s">
        <v>101</v>
      </c>
      <c r="BS806" t="s">
        <v>12278</v>
      </c>
      <c r="BT806" t="str">
        <f>HYPERLINK("https%3A%2F%2Fwww.webofscience.com%2Fwos%2Fwoscc%2Ffull-record%2FWOS:000231539700001","View Full Record in Web of Science")</f>
        <v>View Full Record in Web of Science</v>
      </c>
    </row>
    <row r="807" spans="1:72" x14ac:dyDescent="0.15">
      <c r="A807" t="s">
        <v>72</v>
      </c>
      <c r="B807" t="s">
        <v>12279</v>
      </c>
      <c r="C807" t="s">
        <v>74</v>
      </c>
      <c r="D807" t="s">
        <v>74</v>
      </c>
      <c r="E807" t="s">
        <v>74</v>
      </c>
      <c r="F807" t="s">
        <v>12279</v>
      </c>
      <c r="G807" t="s">
        <v>74</v>
      </c>
      <c r="H807" t="s">
        <v>74</v>
      </c>
      <c r="I807" t="s">
        <v>12280</v>
      </c>
      <c r="J807" t="s">
        <v>7407</v>
      </c>
      <c r="K807" t="s">
        <v>74</v>
      </c>
      <c r="L807" t="s">
        <v>74</v>
      </c>
      <c r="M807" t="s">
        <v>77</v>
      </c>
      <c r="N807" t="s">
        <v>78</v>
      </c>
      <c r="O807" t="s">
        <v>74</v>
      </c>
      <c r="P807" t="s">
        <v>74</v>
      </c>
      <c r="Q807" t="s">
        <v>74</v>
      </c>
      <c r="R807" t="s">
        <v>74</v>
      </c>
      <c r="S807" t="s">
        <v>74</v>
      </c>
      <c r="T807" t="s">
        <v>74</v>
      </c>
      <c r="U807" t="s">
        <v>12281</v>
      </c>
      <c r="V807" t="s">
        <v>12282</v>
      </c>
      <c r="W807" t="s">
        <v>12283</v>
      </c>
      <c r="X807" t="s">
        <v>12284</v>
      </c>
      <c r="Y807" t="s">
        <v>12285</v>
      </c>
      <c r="Z807" t="s">
        <v>12286</v>
      </c>
      <c r="AA807" t="s">
        <v>12287</v>
      </c>
      <c r="AB807" t="s">
        <v>12288</v>
      </c>
      <c r="AC807" t="s">
        <v>74</v>
      </c>
      <c r="AD807" t="s">
        <v>74</v>
      </c>
      <c r="AE807" t="s">
        <v>74</v>
      </c>
      <c r="AF807" t="s">
        <v>74</v>
      </c>
      <c r="AG807">
        <v>48</v>
      </c>
      <c r="AH807">
        <v>16</v>
      </c>
      <c r="AI807">
        <v>17</v>
      </c>
      <c r="AJ807">
        <v>0</v>
      </c>
      <c r="AK807">
        <v>6</v>
      </c>
      <c r="AL807" t="s">
        <v>431</v>
      </c>
      <c r="AM807" t="s">
        <v>432</v>
      </c>
      <c r="AN807" t="s">
        <v>433</v>
      </c>
      <c r="AO807" t="s">
        <v>7416</v>
      </c>
      <c r="AP807" t="s">
        <v>7417</v>
      </c>
      <c r="AQ807" t="s">
        <v>74</v>
      </c>
      <c r="AR807" t="s">
        <v>7418</v>
      </c>
      <c r="AS807" t="s">
        <v>7419</v>
      </c>
      <c r="AT807" t="s">
        <v>12289</v>
      </c>
      <c r="AU807">
        <v>2005</v>
      </c>
      <c r="AV807">
        <v>5</v>
      </c>
      <c r="AW807" t="s">
        <v>74</v>
      </c>
      <c r="AX807" t="s">
        <v>74</v>
      </c>
      <c r="AY807" t="s">
        <v>74</v>
      </c>
      <c r="AZ807" t="s">
        <v>74</v>
      </c>
      <c r="BA807" t="s">
        <v>74</v>
      </c>
      <c r="BB807">
        <v>2081</v>
      </c>
      <c r="BC807">
        <v>2090</v>
      </c>
      <c r="BD807" t="s">
        <v>74</v>
      </c>
      <c r="BE807" t="s">
        <v>12290</v>
      </c>
      <c r="BF807" t="str">
        <f>HYPERLINK("http://dx.doi.org/10.5194/acp-5-2081-2005","http://dx.doi.org/10.5194/acp-5-2081-2005")</f>
        <v>http://dx.doi.org/10.5194/acp-5-2081-2005</v>
      </c>
      <c r="BG807" t="s">
        <v>74</v>
      </c>
      <c r="BH807" t="s">
        <v>74</v>
      </c>
      <c r="BI807">
        <v>10</v>
      </c>
      <c r="BJ807" t="s">
        <v>6080</v>
      </c>
      <c r="BK807" t="s">
        <v>98</v>
      </c>
      <c r="BL807" t="s">
        <v>6081</v>
      </c>
      <c r="BM807" t="s">
        <v>12291</v>
      </c>
      <c r="BN807" t="s">
        <v>74</v>
      </c>
      <c r="BO807" t="s">
        <v>12292</v>
      </c>
      <c r="BP807" t="s">
        <v>74</v>
      </c>
      <c r="BQ807" t="s">
        <v>74</v>
      </c>
      <c r="BR807" t="s">
        <v>101</v>
      </c>
      <c r="BS807" t="s">
        <v>12293</v>
      </c>
      <c r="BT807" t="str">
        <f>HYPERLINK("https%3A%2F%2Fwww.webofscience.com%2Fwos%2Fwoscc%2Ffull-record%2FWOS:000231156700001","View Full Record in Web of Science")</f>
        <v>View Full Record in Web of Science</v>
      </c>
    </row>
    <row r="808" spans="1:72" x14ac:dyDescent="0.15">
      <c r="A808" t="s">
        <v>72</v>
      </c>
      <c r="B808" t="s">
        <v>12294</v>
      </c>
      <c r="C808" t="s">
        <v>74</v>
      </c>
      <c r="D808" t="s">
        <v>74</v>
      </c>
      <c r="E808" t="s">
        <v>74</v>
      </c>
      <c r="F808" t="s">
        <v>12294</v>
      </c>
      <c r="G808" t="s">
        <v>74</v>
      </c>
      <c r="H808" t="s">
        <v>74</v>
      </c>
      <c r="I808" t="s">
        <v>12295</v>
      </c>
      <c r="J808" t="s">
        <v>12296</v>
      </c>
      <c r="K808" t="s">
        <v>74</v>
      </c>
      <c r="L808" t="s">
        <v>74</v>
      </c>
      <c r="M808" t="s">
        <v>77</v>
      </c>
      <c r="N808" t="s">
        <v>78</v>
      </c>
      <c r="O808" t="s">
        <v>74</v>
      </c>
      <c r="P808" t="s">
        <v>74</v>
      </c>
      <c r="Q808" t="s">
        <v>74</v>
      </c>
      <c r="R808" t="s">
        <v>74</v>
      </c>
      <c r="S808" t="s">
        <v>74</v>
      </c>
      <c r="T808" t="s">
        <v>74</v>
      </c>
      <c r="U808" t="s">
        <v>12297</v>
      </c>
      <c r="V808" t="s">
        <v>12298</v>
      </c>
      <c r="W808" t="s">
        <v>12299</v>
      </c>
      <c r="X808" t="s">
        <v>12300</v>
      </c>
      <c r="Y808" t="s">
        <v>12301</v>
      </c>
      <c r="Z808" t="s">
        <v>12302</v>
      </c>
      <c r="AA808" t="s">
        <v>74</v>
      </c>
      <c r="AB808" t="s">
        <v>12303</v>
      </c>
      <c r="AC808" t="s">
        <v>74</v>
      </c>
      <c r="AD808" t="s">
        <v>74</v>
      </c>
      <c r="AE808" t="s">
        <v>74</v>
      </c>
      <c r="AF808" t="s">
        <v>74</v>
      </c>
      <c r="AG808">
        <v>34</v>
      </c>
      <c r="AH808">
        <v>55</v>
      </c>
      <c r="AI808">
        <v>57</v>
      </c>
      <c r="AJ808">
        <v>0</v>
      </c>
      <c r="AK808">
        <v>8</v>
      </c>
      <c r="AL808" t="s">
        <v>12304</v>
      </c>
      <c r="AM808" t="s">
        <v>1055</v>
      </c>
      <c r="AN808" t="s">
        <v>12305</v>
      </c>
      <c r="AO808" t="s">
        <v>12306</v>
      </c>
      <c r="AP808" t="s">
        <v>74</v>
      </c>
      <c r="AQ808" t="s">
        <v>74</v>
      </c>
      <c r="AR808" t="s">
        <v>12296</v>
      </c>
      <c r="AS808" t="s">
        <v>12307</v>
      </c>
      <c r="AT808" t="s">
        <v>12289</v>
      </c>
      <c r="AU808">
        <v>2005</v>
      </c>
      <c r="AV808">
        <v>6</v>
      </c>
      <c r="AW808" t="s">
        <v>74</v>
      </c>
      <c r="AX808" t="s">
        <v>74</v>
      </c>
      <c r="AY808" t="s">
        <v>74</v>
      </c>
      <c r="AZ808" t="s">
        <v>74</v>
      </c>
      <c r="BA808" t="s">
        <v>74</v>
      </c>
      <c r="BB808" t="s">
        <v>74</v>
      </c>
      <c r="BC808" t="s">
        <v>74</v>
      </c>
      <c r="BD808">
        <v>105</v>
      </c>
      <c r="BE808" t="s">
        <v>12308</v>
      </c>
      <c r="BF808" t="str">
        <f>HYPERLINK("http://dx.doi.org/10.1186/1471-2164-6-105","http://dx.doi.org/10.1186/1471-2164-6-105")</f>
        <v>http://dx.doi.org/10.1186/1471-2164-6-105</v>
      </c>
      <c r="BG808" t="s">
        <v>74</v>
      </c>
      <c r="BH808" t="s">
        <v>74</v>
      </c>
      <c r="BI808">
        <v>9</v>
      </c>
      <c r="BJ808" t="s">
        <v>12309</v>
      </c>
      <c r="BK808" t="s">
        <v>98</v>
      </c>
      <c r="BL808" t="s">
        <v>12309</v>
      </c>
      <c r="BM808" t="s">
        <v>12310</v>
      </c>
      <c r="BN808">
        <v>16091132</v>
      </c>
      <c r="BO808" t="s">
        <v>12311</v>
      </c>
      <c r="BP808" t="s">
        <v>74</v>
      </c>
      <c r="BQ808" t="s">
        <v>74</v>
      </c>
      <c r="BR808" t="s">
        <v>101</v>
      </c>
      <c r="BS808" t="s">
        <v>12312</v>
      </c>
      <c r="BT808" t="str">
        <f>HYPERLINK("https%3A%2F%2Fwww.webofscience.com%2Fwos%2Fwoscc%2Ffull-record%2FWOS:000231735400001","View Full Record in Web of Science")</f>
        <v>View Full Record in Web of Science</v>
      </c>
    </row>
    <row r="809" spans="1:72" x14ac:dyDescent="0.15">
      <c r="A809" t="s">
        <v>72</v>
      </c>
      <c r="B809" t="s">
        <v>12313</v>
      </c>
      <c r="C809" t="s">
        <v>74</v>
      </c>
      <c r="D809" t="s">
        <v>74</v>
      </c>
      <c r="E809" t="s">
        <v>74</v>
      </c>
      <c r="F809" t="s">
        <v>12313</v>
      </c>
      <c r="G809" t="s">
        <v>74</v>
      </c>
      <c r="H809" t="s">
        <v>74</v>
      </c>
      <c r="I809" t="s">
        <v>12314</v>
      </c>
      <c r="J809" t="s">
        <v>7407</v>
      </c>
      <c r="K809" t="s">
        <v>74</v>
      </c>
      <c r="L809" t="s">
        <v>74</v>
      </c>
      <c r="M809" t="s">
        <v>77</v>
      </c>
      <c r="N809" t="s">
        <v>78</v>
      </c>
      <c r="O809" t="s">
        <v>74</v>
      </c>
      <c r="P809" t="s">
        <v>74</v>
      </c>
      <c r="Q809" t="s">
        <v>74</v>
      </c>
      <c r="R809" t="s">
        <v>74</v>
      </c>
      <c r="S809" t="s">
        <v>74</v>
      </c>
      <c r="T809" t="s">
        <v>74</v>
      </c>
      <c r="U809" t="s">
        <v>12315</v>
      </c>
      <c r="V809" t="s">
        <v>12316</v>
      </c>
      <c r="W809" t="s">
        <v>12317</v>
      </c>
      <c r="X809" t="s">
        <v>12318</v>
      </c>
      <c r="Y809" t="s">
        <v>12319</v>
      </c>
      <c r="Z809" t="s">
        <v>12320</v>
      </c>
      <c r="AA809" t="s">
        <v>12321</v>
      </c>
      <c r="AB809" t="s">
        <v>12322</v>
      </c>
      <c r="AC809" t="s">
        <v>74</v>
      </c>
      <c r="AD809" t="s">
        <v>74</v>
      </c>
      <c r="AE809" t="s">
        <v>74</v>
      </c>
      <c r="AF809" t="s">
        <v>74</v>
      </c>
      <c r="AG809">
        <v>31</v>
      </c>
      <c r="AH809">
        <v>16</v>
      </c>
      <c r="AI809">
        <v>18</v>
      </c>
      <c r="AJ809">
        <v>0</v>
      </c>
      <c r="AK809">
        <v>7</v>
      </c>
      <c r="AL809" t="s">
        <v>12323</v>
      </c>
      <c r="AM809" t="s">
        <v>12324</v>
      </c>
      <c r="AN809" t="s">
        <v>12325</v>
      </c>
      <c r="AO809" t="s">
        <v>7417</v>
      </c>
      <c r="AP809" t="s">
        <v>74</v>
      </c>
      <c r="AQ809" t="s">
        <v>74</v>
      </c>
      <c r="AR809" t="s">
        <v>7418</v>
      </c>
      <c r="AS809" t="s">
        <v>7419</v>
      </c>
      <c r="AT809" t="s">
        <v>12326</v>
      </c>
      <c r="AU809">
        <v>2005</v>
      </c>
      <c r="AV809">
        <v>5</v>
      </c>
      <c r="AW809" t="s">
        <v>74</v>
      </c>
      <c r="AX809" t="s">
        <v>74</v>
      </c>
      <c r="AY809" t="s">
        <v>74</v>
      </c>
      <c r="AZ809" t="s">
        <v>74</v>
      </c>
      <c r="BA809" t="s">
        <v>74</v>
      </c>
      <c r="BB809">
        <v>2055</v>
      </c>
      <c r="BC809">
        <v>2064</v>
      </c>
      <c r="BD809" t="s">
        <v>74</v>
      </c>
      <c r="BE809" t="s">
        <v>12327</v>
      </c>
      <c r="BF809" t="str">
        <f>HYPERLINK("http://dx.doi.org/10.5194/acp-5-2055-2005","http://dx.doi.org/10.5194/acp-5-2055-2005")</f>
        <v>http://dx.doi.org/10.5194/acp-5-2055-2005</v>
      </c>
      <c r="BG809" t="s">
        <v>74</v>
      </c>
      <c r="BH809" t="s">
        <v>74</v>
      </c>
      <c r="BI809">
        <v>10</v>
      </c>
      <c r="BJ809" t="s">
        <v>6080</v>
      </c>
      <c r="BK809" t="s">
        <v>98</v>
      </c>
      <c r="BL809" t="s">
        <v>6081</v>
      </c>
      <c r="BM809" t="s">
        <v>12328</v>
      </c>
      <c r="BN809" t="s">
        <v>74</v>
      </c>
      <c r="BO809" t="s">
        <v>7563</v>
      </c>
      <c r="BP809" t="s">
        <v>74</v>
      </c>
      <c r="BQ809" t="s">
        <v>74</v>
      </c>
      <c r="BR809" t="s">
        <v>101</v>
      </c>
      <c r="BS809" t="s">
        <v>12329</v>
      </c>
      <c r="BT809" t="str">
        <f>HYPERLINK("https%3A%2F%2Fwww.webofscience.com%2Fwos%2Fwoscc%2Ffull-record%2FWOS:000231156300002","View Full Record in Web of Science")</f>
        <v>View Full Record in Web of Science</v>
      </c>
    </row>
    <row r="810" spans="1:72" x14ac:dyDescent="0.15">
      <c r="A810" t="s">
        <v>72</v>
      </c>
      <c r="B810" t="s">
        <v>12330</v>
      </c>
      <c r="C810" t="s">
        <v>74</v>
      </c>
      <c r="D810" t="s">
        <v>74</v>
      </c>
      <c r="E810" t="s">
        <v>74</v>
      </c>
      <c r="F810" t="s">
        <v>12330</v>
      </c>
      <c r="G810" t="s">
        <v>74</v>
      </c>
      <c r="H810" t="s">
        <v>74</v>
      </c>
      <c r="I810" t="s">
        <v>12331</v>
      </c>
      <c r="J810" t="s">
        <v>5458</v>
      </c>
      <c r="K810" t="s">
        <v>74</v>
      </c>
      <c r="L810" t="s">
        <v>74</v>
      </c>
      <c r="M810" t="s">
        <v>77</v>
      </c>
      <c r="N810" t="s">
        <v>78</v>
      </c>
      <c r="O810" t="s">
        <v>74</v>
      </c>
      <c r="P810" t="s">
        <v>74</v>
      </c>
      <c r="Q810" t="s">
        <v>74</v>
      </c>
      <c r="R810" t="s">
        <v>74</v>
      </c>
      <c r="S810" t="s">
        <v>74</v>
      </c>
      <c r="T810" t="s">
        <v>12332</v>
      </c>
      <c r="U810" t="s">
        <v>12333</v>
      </c>
      <c r="V810" t="s">
        <v>12334</v>
      </c>
      <c r="W810" t="s">
        <v>12335</v>
      </c>
      <c r="X810" t="s">
        <v>6243</v>
      </c>
      <c r="Y810" t="s">
        <v>12336</v>
      </c>
      <c r="Z810" t="s">
        <v>12337</v>
      </c>
      <c r="AA810" t="s">
        <v>6251</v>
      </c>
      <c r="AB810" t="s">
        <v>12338</v>
      </c>
      <c r="AC810" t="s">
        <v>74</v>
      </c>
      <c r="AD810" t="s">
        <v>74</v>
      </c>
      <c r="AE810" t="s">
        <v>74</v>
      </c>
      <c r="AF810" t="s">
        <v>74</v>
      </c>
      <c r="AG810">
        <v>58</v>
      </c>
      <c r="AH810">
        <v>31</v>
      </c>
      <c r="AI810">
        <v>38</v>
      </c>
      <c r="AJ810">
        <v>0</v>
      </c>
      <c r="AK810">
        <v>16</v>
      </c>
      <c r="AL810" t="s">
        <v>3283</v>
      </c>
      <c r="AM810" t="s">
        <v>1148</v>
      </c>
      <c r="AN810" t="s">
        <v>3284</v>
      </c>
      <c r="AO810" t="s">
        <v>5468</v>
      </c>
      <c r="AP810" t="s">
        <v>7450</v>
      </c>
      <c r="AQ810" t="s">
        <v>74</v>
      </c>
      <c r="AR810" t="s">
        <v>5469</v>
      </c>
      <c r="AS810" t="s">
        <v>5470</v>
      </c>
      <c r="AT810" t="s">
        <v>12326</v>
      </c>
      <c r="AU810">
        <v>2005</v>
      </c>
      <c r="AV810">
        <v>322</v>
      </c>
      <c r="AW810">
        <v>1</v>
      </c>
      <c r="AX810" t="s">
        <v>74</v>
      </c>
      <c r="AY810" t="s">
        <v>74</v>
      </c>
      <c r="AZ810" t="s">
        <v>74</v>
      </c>
      <c r="BA810" t="s">
        <v>74</v>
      </c>
      <c r="BB810">
        <v>1</v>
      </c>
      <c r="BC810">
        <v>12</v>
      </c>
      <c r="BD810" t="s">
        <v>74</v>
      </c>
      <c r="BE810" t="s">
        <v>12339</v>
      </c>
      <c r="BF810" t="str">
        <f>HYPERLINK("http://dx.doi.org/10.1016/j.jembe.2005.01.010","http://dx.doi.org/10.1016/j.jembe.2005.01.010")</f>
        <v>http://dx.doi.org/10.1016/j.jembe.2005.01.010</v>
      </c>
      <c r="BG810" t="s">
        <v>74</v>
      </c>
      <c r="BH810" t="s">
        <v>74</v>
      </c>
      <c r="BI810">
        <v>12</v>
      </c>
      <c r="BJ810" t="s">
        <v>2628</v>
      </c>
      <c r="BK810" t="s">
        <v>98</v>
      </c>
      <c r="BL810" t="s">
        <v>2629</v>
      </c>
      <c r="BM810" t="s">
        <v>12340</v>
      </c>
      <c r="BN810" t="s">
        <v>74</v>
      </c>
      <c r="BO810" t="s">
        <v>74</v>
      </c>
      <c r="BP810" t="s">
        <v>74</v>
      </c>
      <c r="BQ810" t="s">
        <v>74</v>
      </c>
      <c r="BR810" t="s">
        <v>101</v>
      </c>
      <c r="BS810" t="s">
        <v>12341</v>
      </c>
      <c r="BT810" t="str">
        <f>HYPERLINK("https%3A%2F%2Fwww.webofscience.com%2Fwos%2Fwoscc%2Ffull-record%2FWOS:000231153800001","View Full Record in Web of Science")</f>
        <v>View Full Record in Web of Science</v>
      </c>
    </row>
    <row r="811" spans="1:72" x14ac:dyDescent="0.15">
      <c r="A811" t="s">
        <v>72</v>
      </c>
      <c r="B811" t="s">
        <v>12342</v>
      </c>
      <c r="C811" t="s">
        <v>74</v>
      </c>
      <c r="D811" t="s">
        <v>74</v>
      </c>
      <c r="E811" t="s">
        <v>74</v>
      </c>
      <c r="F811" t="s">
        <v>12342</v>
      </c>
      <c r="G811" t="s">
        <v>74</v>
      </c>
      <c r="H811" t="s">
        <v>74</v>
      </c>
      <c r="I811" t="s">
        <v>12343</v>
      </c>
      <c r="J811" t="s">
        <v>5458</v>
      </c>
      <c r="K811" t="s">
        <v>74</v>
      </c>
      <c r="L811" t="s">
        <v>74</v>
      </c>
      <c r="M811" t="s">
        <v>77</v>
      </c>
      <c r="N811" t="s">
        <v>78</v>
      </c>
      <c r="O811" t="s">
        <v>74</v>
      </c>
      <c r="P811" t="s">
        <v>74</v>
      </c>
      <c r="Q811" t="s">
        <v>74</v>
      </c>
      <c r="R811" t="s">
        <v>74</v>
      </c>
      <c r="S811" t="s">
        <v>74</v>
      </c>
      <c r="T811" t="s">
        <v>12344</v>
      </c>
      <c r="U811" t="s">
        <v>12345</v>
      </c>
      <c r="V811" t="s">
        <v>12346</v>
      </c>
      <c r="W811" t="s">
        <v>11042</v>
      </c>
      <c r="X811" t="s">
        <v>2709</v>
      </c>
      <c r="Y811" t="s">
        <v>12347</v>
      </c>
      <c r="Z811" t="s">
        <v>11044</v>
      </c>
      <c r="AA811" t="s">
        <v>12348</v>
      </c>
      <c r="AB811" t="s">
        <v>12349</v>
      </c>
      <c r="AC811" t="s">
        <v>74</v>
      </c>
      <c r="AD811" t="s">
        <v>74</v>
      </c>
      <c r="AE811" t="s">
        <v>74</v>
      </c>
      <c r="AF811" t="s">
        <v>74</v>
      </c>
      <c r="AG811">
        <v>25</v>
      </c>
      <c r="AH811">
        <v>32</v>
      </c>
      <c r="AI811">
        <v>35</v>
      </c>
      <c r="AJ811">
        <v>1</v>
      </c>
      <c r="AK811">
        <v>21</v>
      </c>
      <c r="AL811" t="s">
        <v>1147</v>
      </c>
      <c r="AM811" t="s">
        <v>1148</v>
      </c>
      <c r="AN811" t="s">
        <v>1149</v>
      </c>
      <c r="AO811" t="s">
        <v>5468</v>
      </c>
      <c r="AP811" t="s">
        <v>7450</v>
      </c>
      <c r="AQ811" t="s">
        <v>74</v>
      </c>
      <c r="AR811" t="s">
        <v>5469</v>
      </c>
      <c r="AS811" t="s">
        <v>5470</v>
      </c>
      <c r="AT811" t="s">
        <v>12326</v>
      </c>
      <c r="AU811">
        <v>2005</v>
      </c>
      <c r="AV811">
        <v>322</v>
      </c>
      <c r="AW811">
        <v>1</v>
      </c>
      <c r="AX811" t="s">
        <v>74</v>
      </c>
      <c r="AY811" t="s">
        <v>74</v>
      </c>
      <c r="AZ811" t="s">
        <v>74</v>
      </c>
      <c r="BA811" t="s">
        <v>74</v>
      </c>
      <c r="BB811">
        <v>53</v>
      </c>
      <c r="BC811">
        <v>65</v>
      </c>
      <c r="BD811" t="s">
        <v>74</v>
      </c>
      <c r="BE811" t="s">
        <v>12350</v>
      </c>
      <c r="BF811" t="str">
        <f>HYPERLINK("http://dx.doi.org/10.1016/j.jembe.2005.02.005","http://dx.doi.org/10.1016/j.jembe.2005.02.005")</f>
        <v>http://dx.doi.org/10.1016/j.jembe.2005.02.005</v>
      </c>
      <c r="BG811" t="s">
        <v>74</v>
      </c>
      <c r="BH811" t="s">
        <v>74</v>
      </c>
      <c r="BI811">
        <v>13</v>
      </c>
      <c r="BJ811" t="s">
        <v>2628</v>
      </c>
      <c r="BK811" t="s">
        <v>98</v>
      </c>
      <c r="BL811" t="s">
        <v>2629</v>
      </c>
      <c r="BM811" t="s">
        <v>12340</v>
      </c>
      <c r="BN811" t="s">
        <v>74</v>
      </c>
      <c r="BO811" t="s">
        <v>74</v>
      </c>
      <c r="BP811" t="s">
        <v>74</v>
      </c>
      <c r="BQ811" t="s">
        <v>74</v>
      </c>
      <c r="BR811" t="s">
        <v>101</v>
      </c>
      <c r="BS811" t="s">
        <v>12351</v>
      </c>
      <c r="BT811" t="str">
        <f>HYPERLINK("https%3A%2F%2Fwww.webofscience.com%2Fwos%2Fwoscc%2Ffull-record%2FWOS:000231153800005","View Full Record in Web of Science")</f>
        <v>View Full Record in Web of Science</v>
      </c>
    </row>
    <row r="812" spans="1:72" x14ac:dyDescent="0.15">
      <c r="A812" t="s">
        <v>72</v>
      </c>
      <c r="B812" t="s">
        <v>12352</v>
      </c>
      <c r="C812" t="s">
        <v>74</v>
      </c>
      <c r="D812" t="s">
        <v>74</v>
      </c>
      <c r="E812" t="s">
        <v>74</v>
      </c>
      <c r="F812" t="s">
        <v>12352</v>
      </c>
      <c r="G812" t="s">
        <v>74</v>
      </c>
      <c r="H812" t="s">
        <v>74</v>
      </c>
      <c r="I812" t="s">
        <v>12353</v>
      </c>
      <c r="J812" t="s">
        <v>12354</v>
      </c>
      <c r="K812" t="s">
        <v>74</v>
      </c>
      <c r="L812" t="s">
        <v>74</v>
      </c>
      <c r="M812" t="s">
        <v>77</v>
      </c>
      <c r="N812" t="s">
        <v>78</v>
      </c>
      <c r="O812" t="s">
        <v>74</v>
      </c>
      <c r="P812" t="s">
        <v>74</v>
      </c>
      <c r="Q812" t="s">
        <v>74</v>
      </c>
      <c r="R812" t="s">
        <v>74</v>
      </c>
      <c r="S812" t="s">
        <v>74</v>
      </c>
      <c r="T812" t="s">
        <v>12355</v>
      </c>
      <c r="U812" t="s">
        <v>12356</v>
      </c>
      <c r="V812" t="s">
        <v>12357</v>
      </c>
      <c r="W812" t="s">
        <v>12358</v>
      </c>
      <c r="X812" t="s">
        <v>12359</v>
      </c>
      <c r="Y812" t="s">
        <v>12360</v>
      </c>
      <c r="Z812" t="s">
        <v>12361</v>
      </c>
      <c r="AA812" t="s">
        <v>12362</v>
      </c>
      <c r="AB812" t="s">
        <v>12363</v>
      </c>
      <c r="AC812" t="s">
        <v>74</v>
      </c>
      <c r="AD812" t="s">
        <v>74</v>
      </c>
      <c r="AE812" t="s">
        <v>74</v>
      </c>
      <c r="AF812" t="s">
        <v>74</v>
      </c>
      <c r="AG812">
        <v>16</v>
      </c>
      <c r="AH812">
        <v>14</v>
      </c>
      <c r="AI812">
        <v>14</v>
      </c>
      <c r="AJ812">
        <v>0</v>
      </c>
      <c r="AK812">
        <v>5</v>
      </c>
      <c r="AL812" t="s">
        <v>622</v>
      </c>
      <c r="AM812" t="s">
        <v>140</v>
      </c>
      <c r="AN812" t="s">
        <v>623</v>
      </c>
      <c r="AO812" t="s">
        <v>12364</v>
      </c>
      <c r="AP812" t="s">
        <v>74</v>
      </c>
      <c r="AQ812" t="s">
        <v>74</v>
      </c>
      <c r="AR812" t="s">
        <v>12365</v>
      </c>
      <c r="AS812" t="s">
        <v>12366</v>
      </c>
      <c r="AT812" t="s">
        <v>12326</v>
      </c>
      <c r="AU812">
        <v>2005</v>
      </c>
      <c r="AV812">
        <v>46</v>
      </c>
      <c r="AW812">
        <v>32</v>
      </c>
      <c r="AX812" t="s">
        <v>74</v>
      </c>
      <c r="AY812" t="s">
        <v>74</v>
      </c>
      <c r="AZ812" t="s">
        <v>74</v>
      </c>
      <c r="BA812" t="s">
        <v>74</v>
      </c>
      <c r="BB812">
        <v>5321</v>
      </c>
      <c r="BC812">
        <v>5324</v>
      </c>
      <c r="BD812" t="s">
        <v>74</v>
      </c>
      <c r="BE812" t="s">
        <v>12367</v>
      </c>
      <c r="BF812" t="str">
        <f>HYPERLINK("http://dx.doi.org/10.1016/j.tetlet.2005.06.010","http://dx.doi.org/10.1016/j.tetlet.2005.06.010")</f>
        <v>http://dx.doi.org/10.1016/j.tetlet.2005.06.010</v>
      </c>
      <c r="BG812" t="s">
        <v>74</v>
      </c>
      <c r="BH812" t="s">
        <v>74</v>
      </c>
      <c r="BI812">
        <v>4</v>
      </c>
      <c r="BJ812" t="s">
        <v>12368</v>
      </c>
      <c r="BK812" t="s">
        <v>12369</v>
      </c>
      <c r="BL812" t="s">
        <v>3291</v>
      </c>
      <c r="BM812" t="s">
        <v>12370</v>
      </c>
      <c r="BN812" t="s">
        <v>74</v>
      </c>
      <c r="BO812" t="s">
        <v>74</v>
      </c>
      <c r="BP812" t="s">
        <v>74</v>
      </c>
      <c r="BQ812" t="s">
        <v>74</v>
      </c>
      <c r="BR812" t="s">
        <v>101</v>
      </c>
      <c r="BS812" t="s">
        <v>12371</v>
      </c>
      <c r="BT812" t="str">
        <f>HYPERLINK("https%3A%2F%2Fwww.webofscience.com%2Fwos%2Fwoscc%2Ffull-record%2FWOS:000230685900017","View Full Record in Web of Science")</f>
        <v>View Full Record in Web of Science</v>
      </c>
    </row>
    <row r="813" spans="1:72" x14ac:dyDescent="0.15">
      <c r="A813" t="s">
        <v>72</v>
      </c>
      <c r="B813" t="s">
        <v>12372</v>
      </c>
      <c r="C813" t="s">
        <v>74</v>
      </c>
      <c r="D813" t="s">
        <v>74</v>
      </c>
      <c r="E813" t="s">
        <v>74</v>
      </c>
      <c r="F813" t="s">
        <v>12372</v>
      </c>
      <c r="G813" t="s">
        <v>74</v>
      </c>
      <c r="H813" t="s">
        <v>74</v>
      </c>
      <c r="I813" t="s">
        <v>12373</v>
      </c>
      <c r="J813" t="s">
        <v>5134</v>
      </c>
      <c r="K813" t="s">
        <v>74</v>
      </c>
      <c r="L813" t="s">
        <v>74</v>
      </c>
      <c r="M813" t="s">
        <v>77</v>
      </c>
      <c r="N813" t="s">
        <v>78</v>
      </c>
      <c r="O813" t="s">
        <v>74</v>
      </c>
      <c r="P813" t="s">
        <v>74</v>
      </c>
      <c r="Q813" t="s">
        <v>74</v>
      </c>
      <c r="R813" t="s">
        <v>74</v>
      </c>
      <c r="S813" t="s">
        <v>74</v>
      </c>
      <c r="T813" t="s">
        <v>74</v>
      </c>
      <c r="U813" t="s">
        <v>12374</v>
      </c>
      <c r="V813" t="s">
        <v>12375</v>
      </c>
      <c r="W813" t="s">
        <v>12376</v>
      </c>
      <c r="X813" t="s">
        <v>12377</v>
      </c>
      <c r="Y813" t="s">
        <v>12378</v>
      </c>
      <c r="Z813" t="s">
        <v>12379</v>
      </c>
      <c r="AA813" t="s">
        <v>12380</v>
      </c>
      <c r="AB813" t="s">
        <v>12381</v>
      </c>
      <c r="AC813" t="s">
        <v>74</v>
      </c>
      <c r="AD813" t="s">
        <v>74</v>
      </c>
      <c r="AE813" t="s">
        <v>74</v>
      </c>
      <c r="AF813" t="s">
        <v>74</v>
      </c>
      <c r="AG813">
        <v>24</v>
      </c>
      <c r="AH813">
        <v>36</v>
      </c>
      <c r="AI813">
        <v>39</v>
      </c>
      <c r="AJ813">
        <v>4</v>
      </c>
      <c r="AK813">
        <v>17</v>
      </c>
      <c r="AL813" t="s">
        <v>4487</v>
      </c>
      <c r="AM813" t="s">
        <v>2541</v>
      </c>
      <c r="AN813" t="s">
        <v>4488</v>
      </c>
      <c r="AO813" t="s">
        <v>5142</v>
      </c>
      <c r="AP813" t="s">
        <v>74</v>
      </c>
      <c r="AQ813" t="s">
        <v>74</v>
      </c>
      <c r="AR813" t="s">
        <v>5144</v>
      </c>
      <c r="AS813" t="s">
        <v>5145</v>
      </c>
      <c r="AT813" t="s">
        <v>12382</v>
      </c>
      <c r="AU813">
        <v>2005</v>
      </c>
      <c r="AV813">
        <v>32</v>
      </c>
      <c r="AW813">
        <v>15</v>
      </c>
      <c r="AX813" t="s">
        <v>74</v>
      </c>
      <c r="AY813" t="s">
        <v>74</v>
      </c>
      <c r="AZ813" t="s">
        <v>74</v>
      </c>
      <c r="BA813" t="s">
        <v>74</v>
      </c>
      <c r="BB813" t="s">
        <v>74</v>
      </c>
      <c r="BC813" t="s">
        <v>74</v>
      </c>
      <c r="BD813" t="s">
        <v>12383</v>
      </c>
      <c r="BE813" t="s">
        <v>12384</v>
      </c>
      <c r="BF813" t="str">
        <f>HYPERLINK("http://dx.doi.org/10.1029/2005GL023393","http://dx.doi.org/10.1029/2005GL023393")</f>
        <v>http://dx.doi.org/10.1029/2005GL023393</v>
      </c>
      <c r="BG813" t="s">
        <v>74</v>
      </c>
      <c r="BH813" t="s">
        <v>74</v>
      </c>
      <c r="BI813">
        <v>4</v>
      </c>
      <c r="BJ813" t="s">
        <v>1129</v>
      </c>
      <c r="BK813" t="s">
        <v>98</v>
      </c>
      <c r="BL813" t="s">
        <v>1130</v>
      </c>
      <c r="BM813" t="s">
        <v>12385</v>
      </c>
      <c r="BN813" t="s">
        <v>74</v>
      </c>
      <c r="BO813" t="s">
        <v>1900</v>
      </c>
      <c r="BP813" t="s">
        <v>74</v>
      </c>
      <c r="BQ813" t="s">
        <v>74</v>
      </c>
      <c r="BR813" t="s">
        <v>101</v>
      </c>
      <c r="BS813" t="s">
        <v>12386</v>
      </c>
      <c r="BT813" t="str">
        <f>HYPERLINK("https%3A%2F%2Fwww.webofscience.com%2Fwos%2Fwoscc%2Ffull-record%2FWOS:000231141700005","View Full Record in Web of Science")</f>
        <v>View Full Record in Web of Science</v>
      </c>
    </row>
    <row r="814" spans="1:72" x14ac:dyDescent="0.15">
      <c r="A814" t="s">
        <v>72</v>
      </c>
      <c r="B814" t="s">
        <v>12387</v>
      </c>
      <c r="C814" t="s">
        <v>74</v>
      </c>
      <c r="D814" t="s">
        <v>74</v>
      </c>
      <c r="E814" t="s">
        <v>74</v>
      </c>
      <c r="F814" t="s">
        <v>12387</v>
      </c>
      <c r="G814" t="s">
        <v>74</v>
      </c>
      <c r="H814" t="s">
        <v>74</v>
      </c>
      <c r="I814" t="s">
        <v>12388</v>
      </c>
      <c r="J814" t="s">
        <v>8831</v>
      </c>
      <c r="K814" t="s">
        <v>74</v>
      </c>
      <c r="L814" t="s">
        <v>74</v>
      </c>
      <c r="M814" t="s">
        <v>77</v>
      </c>
      <c r="N814" t="s">
        <v>78</v>
      </c>
      <c r="O814" t="s">
        <v>74</v>
      </c>
      <c r="P814" t="s">
        <v>74</v>
      </c>
      <c r="Q814" t="s">
        <v>74</v>
      </c>
      <c r="R814" t="s">
        <v>74</v>
      </c>
      <c r="S814" t="s">
        <v>74</v>
      </c>
      <c r="T814" t="s">
        <v>74</v>
      </c>
      <c r="U814" t="s">
        <v>12389</v>
      </c>
      <c r="V814" t="s">
        <v>12390</v>
      </c>
      <c r="W814" t="s">
        <v>12391</v>
      </c>
      <c r="X814" t="s">
        <v>12392</v>
      </c>
      <c r="Y814" t="s">
        <v>5068</v>
      </c>
      <c r="Z814" t="s">
        <v>12393</v>
      </c>
      <c r="AA814" t="s">
        <v>12394</v>
      </c>
      <c r="AB814" t="s">
        <v>12395</v>
      </c>
      <c r="AC814" t="s">
        <v>74</v>
      </c>
      <c r="AD814" t="s">
        <v>74</v>
      </c>
      <c r="AE814" t="s">
        <v>74</v>
      </c>
      <c r="AF814" t="s">
        <v>74</v>
      </c>
      <c r="AG814">
        <v>61</v>
      </c>
      <c r="AH814">
        <v>77</v>
      </c>
      <c r="AI814">
        <v>81</v>
      </c>
      <c r="AJ814">
        <v>0</v>
      </c>
      <c r="AK814">
        <v>19</v>
      </c>
      <c r="AL814" t="s">
        <v>4487</v>
      </c>
      <c r="AM814" t="s">
        <v>2541</v>
      </c>
      <c r="AN814" t="s">
        <v>4488</v>
      </c>
      <c r="AO814" t="s">
        <v>8840</v>
      </c>
      <c r="AP814" t="s">
        <v>8841</v>
      </c>
      <c r="AQ814" t="s">
        <v>74</v>
      </c>
      <c r="AR814" t="s">
        <v>8842</v>
      </c>
      <c r="AS814" t="s">
        <v>8843</v>
      </c>
      <c r="AT814" t="s">
        <v>12396</v>
      </c>
      <c r="AU814">
        <v>2005</v>
      </c>
      <c r="AV814">
        <v>110</v>
      </c>
      <c r="AW814" t="s">
        <v>12397</v>
      </c>
      <c r="AX814" t="s">
        <v>74</v>
      </c>
      <c r="AY814" t="s">
        <v>74</v>
      </c>
      <c r="AZ814" t="s">
        <v>74</v>
      </c>
      <c r="BA814" t="s">
        <v>74</v>
      </c>
      <c r="BB814" t="s">
        <v>74</v>
      </c>
      <c r="BC814" t="s">
        <v>74</v>
      </c>
      <c r="BD814" t="s">
        <v>12398</v>
      </c>
      <c r="BE814" t="s">
        <v>12399</v>
      </c>
      <c r="BF814" t="str">
        <f>HYPERLINK("http://dx.doi.org/10.1029/2004JF000233","http://dx.doi.org/10.1029/2004JF000233")</f>
        <v>http://dx.doi.org/10.1029/2004JF000233</v>
      </c>
      <c r="BG814" t="s">
        <v>74</v>
      </c>
      <c r="BH814" t="s">
        <v>74</v>
      </c>
      <c r="BI814">
        <v>13</v>
      </c>
      <c r="BJ814" t="s">
        <v>1129</v>
      </c>
      <c r="BK814" t="s">
        <v>98</v>
      </c>
      <c r="BL814" t="s">
        <v>1130</v>
      </c>
      <c r="BM814" t="s">
        <v>12400</v>
      </c>
      <c r="BN814" t="s">
        <v>74</v>
      </c>
      <c r="BO814" t="s">
        <v>74</v>
      </c>
      <c r="BP814" t="s">
        <v>74</v>
      </c>
      <c r="BQ814" t="s">
        <v>74</v>
      </c>
      <c r="BR814" t="s">
        <v>101</v>
      </c>
      <c r="BS814" t="s">
        <v>12401</v>
      </c>
      <c r="BT814" t="str">
        <f>HYPERLINK("https%3A%2F%2Fwww.webofscience.com%2Fwos%2Fwoscc%2Ffull-record%2FWOS:000231142400001","View Full Record in Web of Science")</f>
        <v>View Full Record in Web of Science</v>
      </c>
    </row>
    <row r="815" spans="1:72" x14ac:dyDescent="0.15">
      <c r="A815" t="s">
        <v>72</v>
      </c>
      <c r="B815" t="s">
        <v>12402</v>
      </c>
      <c r="C815" t="s">
        <v>74</v>
      </c>
      <c r="D815" t="s">
        <v>74</v>
      </c>
      <c r="E815" t="s">
        <v>74</v>
      </c>
      <c r="F815" t="s">
        <v>12402</v>
      </c>
      <c r="G815" t="s">
        <v>74</v>
      </c>
      <c r="H815" t="s">
        <v>74</v>
      </c>
      <c r="I815" t="s">
        <v>12403</v>
      </c>
      <c r="J815" t="s">
        <v>6088</v>
      </c>
      <c r="K815" t="s">
        <v>74</v>
      </c>
      <c r="L815" t="s">
        <v>74</v>
      </c>
      <c r="M815" t="s">
        <v>77</v>
      </c>
      <c r="N815" t="s">
        <v>78</v>
      </c>
      <c r="O815" t="s">
        <v>74</v>
      </c>
      <c r="P815" t="s">
        <v>74</v>
      </c>
      <c r="Q815" t="s">
        <v>74</v>
      </c>
      <c r="R815" t="s">
        <v>74</v>
      </c>
      <c r="S815" t="s">
        <v>74</v>
      </c>
      <c r="T815" t="s">
        <v>74</v>
      </c>
      <c r="U815" t="s">
        <v>12404</v>
      </c>
      <c r="V815" t="s">
        <v>12405</v>
      </c>
      <c r="W815" t="s">
        <v>12406</v>
      </c>
      <c r="X815" t="s">
        <v>12407</v>
      </c>
      <c r="Y815" t="s">
        <v>12408</v>
      </c>
      <c r="Z815" t="s">
        <v>12409</v>
      </c>
      <c r="AA815" t="s">
        <v>74</v>
      </c>
      <c r="AB815" t="s">
        <v>74</v>
      </c>
      <c r="AC815" t="s">
        <v>74</v>
      </c>
      <c r="AD815" t="s">
        <v>74</v>
      </c>
      <c r="AE815" t="s">
        <v>74</v>
      </c>
      <c r="AF815" t="s">
        <v>74</v>
      </c>
      <c r="AG815">
        <v>37</v>
      </c>
      <c r="AH815">
        <v>131</v>
      </c>
      <c r="AI815">
        <v>152</v>
      </c>
      <c r="AJ815">
        <v>1</v>
      </c>
      <c r="AK815">
        <v>37</v>
      </c>
      <c r="AL815" t="s">
        <v>7361</v>
      </c>
      <c r="AM815" t="s">
        <v>2541</v>
      </c>
      <c r="AN815" t="s">
        <v>7362</v>
      </c>
      <c r="AO815" t="s">
        <v>7363</v>
      </c>
      <c r="AP815" t="s">
        <v>7364</v>
      </c>
      <c r="AQ815" t="s">
        <v>74</v>
      </c>
      <c r="AR815" t="s">
        <v>6088</v>
      </c>
      <c r="AS815" t="s">
        <v>7365</v>
      </c>
      <c r="AT815" t="s">
        <v>12396</v>
      </c>
      <c r="AU815">
        <v>2005</v>
      </c>
      <c r="AV815">
        <v>309</v>
      </c>
      <c r="AW815">
        <v>5736</v>
      </c>
      <c r="AX815" t="s">
        <v>74</v>
      </c>
      <c r="AY815" t="s">
        <v>74</v>
      </c>
      <c r="AZ815" t="s">
        <v>74</v>
      </c>
      <c r="BA815" t="s">
        <v>74</v>
      </c>
      <c r="BB815">
        <v>925</v>
      </c>
      <c r="BC815">
        <v>928</v>
      </c>
      <c r="BD815" t="s">
        <v>74</v>
      </c>
      <c r="BE815" t="s">
        <v>12410</v>
      </c>
      <c r="BF815" t="str">
        <f>HYPERLINK("http://dx.doi.org/10.1126/science.1111575","http://dx.doi.org/10.1126/science.1111575")</f>
        <v>http://dx.doi.org/10.1126/science.1111575</v>
      </c>
      <c r="BG815" t="s">
        <v>74</v>
      </c>
      <c r="BH815" t="s">
        <v>74</v>
      </c>
      <c r="BI815">
        <v>4</v>
      </c>
      <c r="BJ815" t="s">
        <v>3495</v>
      </c>
      <c r="BK815" t="s">
        <v>98</v>
      </c>
      <c r="BL815" t="s">
        <v>3496</v>
      </c>
      <c r="BM815" t="s">
        <v>12411</v>
      </c>
      <c r="BN815">
        <v>15976270</v>
      </c>
      <c r="BO815" t="s">
        <v>1900</v>
      </c>
      <c r="BP815" t="s">
        <v>74</v>
      </c>
      <c r="BQ815" t="s">
        <v>74</v>
      </c>
      <c r="BR815" t="s">
        <v>101</v>
      </c>
      <c r="BS815" t="s">
        <v>12412</v>
      </c>
      <c r="BT815" t="str">
        <f>HYPERLINK("https%3A%2F%2Fwww.webofscience.com%2Fwos%2Fwoscc%2Ffull-record%2FWOS:000231101400044","View Full Record in Web of Science")</f>
        <v>View Full Record in Web of Science</v>
      </c>
    </row>
    <row r="816" spans="1:72" x14ac:dyDescent="0.15">
      <c r="A816" t="s">
        <v>72</v>
      </c>
      <c r="B816" t="s">
        <v>12413</v>
      </c>
      <c r="C816" t="s">
        <v>74</v>
      </c>
      <c r="D816" t="s">
        <v>74</v>
      </c>
      <c r="E816" t="s">
        <v>74</v>
      </c>
      <c r="F816" t="s">
        <v>12413</v>
      </c>
      <c r="G816" t="s">
        <v>74</v>
      </c>
      <c r="H816" t="s">
        <v>74</v>
      </c>
      <c r="I816" t="s">
        <v>12414</v>
      </c>
      <c r="J816" t="s">
        <v>6667</v>
      </c>
      <c r="K816" t="s">
        <v>74</v>
      </c>
      <c r="L816" t="s">
        <v>74</v>
      </c>
      <c r="M816" t="s">
        <v>77</v>
      </c>
      <c r="N816" t="s">
        <v>78</v>
      </c>
      <c r="O816" t="s">
        <v>74</v>
      </c>
      <c r="P816" t="s">
        <v>74</v>
      </c>
      <c r="Q816" t="s">
        <v>74</v>
      </c>
      <c r="R816" t="s">
        <v>74</v>
      </c>
      <c r="S816" t="s">
        <v>74</v>
      </c>
      <c r="T816" t="s">
        <v>74</v>
      </c>
      <c r="U816" t="s">
        <v>12415</v>
      </c>
      <c r="V816" t="s">
        <v>12416</v>
      </c>
      <c r="W816" t="s">
        <v>12417</v>
      </c>
      <c r="X816" t="s">
        <v>12418</v>
      </c>
      <c r="Y816" t="s">
        <v>12419</v>
      </c>
      <c r="Z816" t="s">
        <v>12420</v>
      </c>
      <c r="AA816" t="s">
        <v>12421</v>
      </c>
      <c r="AB816" t="s">
        <v>12422</v>
      </c>
      <c r="AC816" t="s">
        <v>74</v>
      </c>
      <c r="AD816" t="s">
        <v>74</v>
      </c>
      <c r="AE816" t="s">
        <v>74</v>
      </c>
      <c r="AF816" t="s">
        <v>74</v>
      </c>
      <c r="AG816">
        <v>29</v>
      </c>
      <c r="AH816">
        <v>233</v>
      </c>
      <c r="AI816">
        <v>273</v>
      </c>
      <c r="AJ816">
        <v>1</v>
      </c>
      <c r="AK816">
        <v>41</v>
      </c>
      <c r="AL816" t="s">
        <v>6669</v>
      </c>
      <c r="AM816" t="s">
        <v>1055</v>
      </c>
      <c r="AN816" t="s">
        <v>6670</v>
      </c>
      <c r="AO816" t="s">
        <v>6671</v>
      </c>
      <c r="AP816" t="s">
        <v>6672</v>
      </c>
      <c r="AQ816" t="s">
        <v>74</v>
      </c>
      <c r="AR816" t="s">
        <v>6667</v>
      </c>
      <c r="AS816" t="s">
        <v>6673</v>
      </c>
      <c r="AT816" t="s">
        <v>12423</v>
      </c>
      <c r="AU816">
        <v>2005</v>
      </c>
      <c r="AV816">
        <v>436</v>
      </c>
      <c r="AW816">
        <v>7051</v>
      </c>
      <c r="AX816" t="s">
        <v>74</v>
      </c>
      <c r="AY816" t="s">
        <v>74</v>
      </c>
      <c r="AZ816" t="s">
        <v>74</v>
      </c>
      <c r="BA816" t="s">
        <v>74</v>
      </c>
      <c r="BB816">
        <v>681</v>
      </c>
      <c r="BC816">
        <v>685</v>
      </c>
      <c r="BD816" t="s">
        <v>74</v>
      </c>
      <c r="BE816" t="s">
        <v>12424</v>
      </c>
      <c r="BF816" t="str">
        <f>HYPERLINK("http://dx.doi.org/10.1038/nature03908","http://dx.doi.org/10.1038/nature03908")</f>
        <v>http://dx.doi.org/10.1038/nature03908</v>
      </c>
      <c r="BG816" t="s">
        <v>74</v>
      </c>
      <c r="BH816" t="s">
        <v>74</v>
      </c>
      <c r="BI816">
        <v>5</v>
      </c>
      <c r="BJ816" t="s">
        <v>3495</v>
      </c>
      <c r="BK816" t="s">
        <v>98</v>
      </c>
      <c r="BL816" t="s">
        <v>3496</v>
      </c>
      <c r="BM816" t="s">
        <v>12425</v>
      </c>
      <c r="BN816">
        <v>16079842</v>
      </c>
      <c r="BO816" t="s">
        <v>74</v>
      </c>
      <c r="BP816" t="s">
        <v>74</v>
      </c>
      <c r="BQ816" t="s">
        <v>74</v>
      </c>
      <c r="BR816" t="s">
        <v>101</v>
      </c>
      <c r="BS816" t="s">
        <v>12426</v>
      </c>
      <c r="BT816" t="str">
        <f>HYPERLINK("https%3A%2F%2Fwww.webofscience.com%2Fwos%2Fwoscc%2Ffull-record%2FWOS:000230964500039","View Full Record in Web of Science")</f>
        <v>View Full Record in Web of Science</v>
      </c>
    </row>
    <row r="817" spans="1:72" x14ac:dyDescent="0.15">
      <c r="A817" t="s">
        <v>72</v>
      </c>
      <c r="B817" t="s">
        <v>12427</v>
      </c>
      <c r="C817" t="s">
        <v>74</v>
      </c>
      <c r="D817" t="s">
        <v>74</v>
      </c>
      <c r="E817" t="s">
        <v>74</v>
      </c>
      <c r="F817" t="s">
        <v>12427</v>
      </c>
      <c r="G817" t="s">
        <v>74</v>
      </c>
      <c r="H817" t="s">
        <v>74</v>
      </c>
      <c r="I817" t="s">
        <v>12428</v>
      </c>
      <c r="J817" t="s">
        <v>5063</v>
      </c>
      <c r="K817" t="s">
        <v>74</v>
      </c>
      <c r="L817" t="s">
        <v>74</v>
      </c>
      <c r="M817" t="s">
        <v>77</v>
      </c>
      <c r="N817" t="s">
        <v>78</v>
      </c>
      <c r="O817" t="s">
        <v>74</v>
      </c>
      <c r="P817" t="s">
        <v>74</v>
      </c>
      <c r="Q817" t="s">
        <v>74</v>
      </c>
      <c r="R817" t="s">
        <v>74</v>
      </c>
      <c r="S817" t="s">
        <v>74</v>
      </c>
      <c r="T817" t="s">
        <v>74</v>
      </c>
      <c r="U817" t="s">
        <v>12429</v>
      </c>
      <c r="V817" t="s">
        <v>12430</v>
      </c>
      <c r="W817" t="s">
        <v>12431</v>
      </c>
      <c r="X817" t="s">
        <v>12432</v>
      </c>
      <c r="Y817" t="s">
        <v>12433</v>
      </c>
      <c r="Z817" t="s">
        <v>12434</v>
      </c>
      <c r="AA817" t="s">
        <v>12435</v>
      </c>
      <c r="AB817" t="s">
        <v>12436</v>
      </c>
      <c r="AC817" t="s">
        <v>74</v>
      </c>
      <c r="AD817" t="s">
        <v>74</v>
      </c>
      <c r="AE817" t="s">
        <v>74</v>
      </c>
      <c r="AF817" t="s">
        <v>74</v>
      </c>
      <c r="AG817">
        <v>18</v>
      </c>
      <c r="AH817">
        <v>16</v>
      </c>
      <c r="AI817">
        <v>16</v>
      </c>
      <c r="AJ817">
        <v>0</v>
      </c>
      <c r="AK817">
        <v>5</v>
      </c>
      <c r="AL817" t="s">
        <v>4487</v>
      </c>
      <c r="AM817" t="s">
        <v>2541</v>
      </c>
      <c r="AN817" t="s">
        <v>4488</v>
      </c>
      <c r="AO817" t="s">
        <v>5072</v>
      </c>
      <c r="AP817" t="s">
        <v>74</v>
      </c>
      <c r="AQ817" t="s">
        <v>74</v>
      </c>
      <c r="AR817" t="s">
        <v>5074</v>
      </c>
      <c r="AS817" t="s">
        <v>5075</v>
      </c>
      <c r="AT817" t="s">
        <v>12437</v>
      </c>
      <c r="AU817">
        <v>2005</v>
      </c>
      <c r="AV817">
        <v>110</v>
      </c>
      <c r="AW817" t="s">
        <v>12207</v>
      </c>
      <c r="AX817" t="s">
        <v>74</v>
      </c>
      <c r="AY817" t="s">
        <v>74</v>
      </c>
      <c r="AZ817" t="s">
        <v>74</v>
      </c>
      <c r="BA817" t="s">
        <v>74</v>
      </c>
      <c r="BB817" t="s">
        <v>74</v>
      </c>
      <c r="BC817" t="s">
        <v>74</v>
      </c>
      <c r="BD817" t="s">
        <v>12438</v>
      </c>
      <c r="BE817" t="s">
        <v>12439</v>
      </c>
      <c r="BF817" t="str">
        <f>HYPERLINK("http://dx.doi.org/10.1029/2004JD005584","http://dx.doi.org/10.1029/2004JD005584")</f>
        <v>http://dx.doi.org/10.1029/2004JD005584</v>
      </c>
      <c r="BG817" t="s">
        <v>74</v>
      </c>
      <c r="BH817" t="s">
        <v>74</v>
      </c>
      <c r="BI817">
        <v>12</v>
      </c>
      <c r="BJ817" t="s">
        <v>2033</v>
      </c>
      <c r="BK817" t="s">
        <v>98</v>
      </c>
      <c r="BL817" t="s">
        <v>2033</v>
      </c>
      <c r="BM817" t="s">
        <v>12440</v>
      </c>
      <c r="BN817" t="s">
        <v>74</v>
      </c>
      <c r="BO817" t="s">
        <v>1468</v>
      </c>
      <c r="BP817" t="s">
        <v>74</v>
      </c>
      <c r="BQ817" t="s">
        <v>74</v>
      </c>
      <c r="BR817" t="s">
        <v>101</v>
      </c>
      <c r="BS817" t="s">
        <v>12441</v>
      </c>
      <c r="BT817" t="str">
        <f>HYPERLINK("https%3A%2F%2Fwww.webofscience.com%2Fwos%2Fwoscc%2Ffull-record%2FWOS:000231141900001","View Full Record in Web of Science")</f>
        <v>View Full Record in Web of Science</v>
      </c>
    </row>
    <row r="818" spans="1:72" x14ac:dyDescent="0.15">
      <c r="A818" t="s">
        <v>72</v>
      </c>
      <c r="B818" t="s">
        <v>12442</v>
      </c>
      <c r="C818" t="s">
        <v>74</v>
      </c>
      <c r="D818" t="s">
        <v>74</v>
      </c>
      <c r="E818" t="s">
        <v>74</v>
      </c>
      <c r="F818" t="s">
        <v>12442</v>
      </c>
      <c r="G818" t="s">
        <v>74</v>
      </c>
      <c r="H818" t="s">
        <v>74</v>
      </c>
      <c r="I818" t="s">
        <v>12443</v>
      </c>
      <c r="J818" t="s">
        <v>7531</v>
      </c>
      <c r="K818" t="s">
        <v>74</v>
      </c>
      <c r="L818" t="s">
        <v>74</v>
      </c>
      <c r="M818" t="s">
        <v>77</v>
      </c>
      <c r="N818" t="s">
        <v>78</v>
      </c>
      <c r="O818" t="s">
        <v>74</v>
      </c>
      <c r="P818" t="s">
        <v>74</v>
      </c>
      <c r="Q818" t="s">
        <v>74</v>
      </c>
      <c r="R818" t="s">
        <v>74</v>
      </c>
      <c r="S818" t="s">
        <v>74</v>
      </c>
      <c r="T818" t="s">
        <v>74</v>
      </c>
      <c r="U818" t="s">
        <v>12444</v>
      </c>
      <c r="V818" t="s">
        <v>12445</v>
      </c>
      <c r="W818" t="s">
        <v>12446</v>
      </c>
      <c r="X818" t="s">
        <v>12447</v>
      </c>
      <c r="Y818" t="s">
        <v>12448</v>
      </c>
      <c r="Z818" t="s">
        <v>5547</v>
      </c>
      <c r="AA818" t="s">
        <v>12449</v>
      </c>
      <c r="AB818" t="s">
        <v>12450</v>
      </c>
      <c r="AC818" t="s">
        <v>74</v>
      </c>
      <c r="AD818" t="s">
        <v>74</v>
      </c>
      <c r="AE818" t="s">
        <v>74</v>
      </c>
      <c r="AF818" t="s">
        <v>74</v>
      </c>
      <c r="AG818">
        <v>64</v>
      </c>
      <c r="AH818">
        <v>56</v>
      </c>
      <c r="AI818">
        <v>61</v>
      </c>
      <c r="AJ818">
        <v>0</v>
      </c>
      <c r="AK818">
        <v>25</v>
      </c>
      <c r="AL818" t="s">
        <v>4487</v>
      </c>
      <c r="AM818" t="s">
        <v>2541</v>
      </c>
      <c r="AN818" t="s">
        <v>4488</v>
      </c>
      <c r="AO818" t="s">
        <v>7540</v>
      </c>
      <c r="AP818" t="s">
        <v>7541</v>
      </c>
      <c r="AQ818" t="s">
        <v>74</v>
      </c>
      <c r="AR818" t="s">
        <v>7542</v>
      </c>
      <c r="AS818" t="s">
        <v>7543</v>
      </c>
      <c r="AT818" t="s">
        <v>12451</v>
      </c>
      <c r="AU818">
        <v>2005</v>
      </c>
      <c r="AV818">
        <v>110</v>
      </c>
      <c r="AW818" t="s">
        <v>12087</v>
      </c>
      <c r="AX818" t="s">
        <v>74</v>
      </c>
      <c r="AY818" t="s">
        <v>74</v>
      </c>
      <c r="AZ818" t="s">
        <v>74</v>
      </c>
      <c r="BA818" t="s">
        <v>74</v>
      </c>
      <c r="BB818" t="s">
        <v>74</v>
      </c>
      <c r="BC818" t="s">
        <v>74</v>
      </c>
      <c r="BD818" t="s">
        <v>12452</v>
      </c>
      <c r="BE818" t="s">
        <v>12453</v>
      </c>
      <c r="BF818" t="str">
        <f>HYPERLINK("http://dx.doi.org/10.1029/2004JB003390","http://dx.doi.org/10.1029/2004JB003390")</f>
        <v>http://dx.doi.org/10.1029/2004JB003390</v>
      </c>
      <c r="BG818" t="s">
        <v>74</v>
      </c>
      <c r="BH818" t="s">
        <v>74</v>
      </c>
      <c r="BI818">
        <v>21</v>
      </c>
      <c r="BJ818" t="s">
        <v>1348</v>
      </c>
      <c r="BK818" t="s">
        <v>98</v>
      </c>
      <c r="BL818" t="s">
        <v>1348</v>
      </c>
      <c r="BM818" t="s">
        <v>12454</v>
      </c>
      <c r="BN818" t="s">
        <v>74</v>
      </c>
      <c r="BO818" t="s">
        <v>1900</v>
      </c>
      <c r="BP818" t="s">
        <v>74</v>
      </c>
      <c r="BQ818" t="s">
        <v>74</v>
      </c>
      <c r="BR818" t="s">
        <v>101</v>
      </c>
      <c r="BS818" t="s">
        <v>12455</v>
      </c>
      <c r="BT818" t="str">
        <f>HYPERLINK("https%3A%2F%2Fwww.webofscience.com%2Fwos%2Fwoscc%2Ffull-record%2FWOS:000231143000001","View Full Record in Web of Science")</f>
        <v>View Full Record in Web of Science</v>
      </c>
    </row>
    <row r="819" spans="1:72" x14ac:dyDescent="0.15">
      <c r="A819" t="s">
        <v>72</v>
      </c>
      <c r="B819" t="s">
        <v>12456</v>
      </c>
      <c r="C819" t="s">
        <v>74</v>
      </c>
      <c r="D819" t="s">
        <v>74</v>
      </c>
      <c r="E819" t="s">
        <v>74</v>
      </c>
      <c r="F819" t="s">
        <v>12456</v>
      </c>
      <c r="G819" t="s">
        <v>74</v>
      </c>
      <c r="H819" t="s">
        <v>74</v>
      </c>
      <c r="I819" t="s">
        <v>12457</v>
      </c>
      <c r="J819" t="s">
        <v>12458</v>
      </c>
      <c r="K819" t="s">
        <v>74</v>
      </c>
      <c r="L819" t="s">
        <v>74</v>
      </c>
      <c r="M819" t="s">
        <v>77</v>
      </c>
      <c r="N819" t="s">
        <v>335</v>
      </c>
      <c r="O819" t="s">
        <v>12459</v>
      </c>
      <c r="P819" t="s">
        <v>12460</v>
      </c>
      <c r="Q819" t="s">
        <v>9958</v>
      </c>
      <c r="R819" t="s">
        <v>74</v>
      </c>
      <c r="S819" t="s">
        <v>74</v>
      </c>
      <c r="T819" t="s">
        <v>12461</v>
      </c>
      <c r="U819" t="s">
        <v>12462</v>
      </c>
      <c r="V819" t="s">
        <v>12463</v>
      </c>
      <c r="W819" t="s">
        <v>12464</v>
      </c>
      <c r="X819" t="s">
        <v>12465</v>
      </c>
      <c r="Y819" t="s">
        <v>12466</v>
      </c>
      <c r="Z819" t="s">
        <v>12467</v>
      </c>
      <c r="AA819" t="s">
        <v>74</v>
      </c>
      <c r="AB819" t="s">
        <v>74</v>
      </c>
      <c r="AC819" t="s">
        <v>74</v>
      </c>
      <c r="AD819" t="s">
        <v>74</v>
      </c>
      <c r="AE819" t="s">
        <v>74</v>
      </c>
      <c r="AF819" t="s">
        <v>74</v>
      </c>
      <c r="AG819">
        <v>77</v>
      </c>
      <c r="AH819">
        <v>49</v>
      </c>
      <c r="AI819">
        <v>57</v>
      </c>
      <c r="AJ819">
        <v>0</v>
      </c>
      <c r="AK819">
        <v>10</v>
      </c>
      <c r="AL819" t="s">
        <v>2025</v>
      </c>
      <c r="AM819" t="s">
        <v>2026</v>
      </c>
      <c r="AN819" t="s">
        <v>2027</v>
      </c>
      <c r="AO819" t="s">
        <v>12468</v>
      </c>
      <c r="AP819" t="s">
        <v>74</v>
      </c>
      <c r="AQ819" t="s">
        <v>74</v>
      </c>
      <c r="AR819" t="s">
        <v>12469</v>
      </c>
      <c r="AS819" t="s">
        <v>12470</v>
      </c>
      <c r="AT819" t="s">
        <v>12471</v>
      </c>
      <c r="AU819">
        <v>2005</v>
      </c>
      <c r="AV819">
        <v>184</v>
      </c>
      <c r="AW819">
        <v>4</v>
      </c>
      <c r="AX819" t="s">
        <v>74</v>
      </c>
      <c r="AY819" t="s">
        <v>74</v>
      </c>
      <c r="AZ819" t="s">
        <v>74</v>
      </c>
      <c r="BA819" t="s">
        <v>74</v>
      </c>
      <c r="BB819">
        <v>255</v>
      </c>
      <c r="BC819">
        <v>264</v>
      </c>
      <c r="BD819" t="s">
        <v>74</v>
      </c>
      <c r="BE819" t="s">
        <v>12472</v>
      </c>
      <c r="BF819" t="str">
        <f>HYPERLINK("http://dx.doi.org/10.1111/j.1365-201X.2005.01464.x","http://dx.doi.org/10.1111/j.1365-201X.2005.01464.x")</f>
        <v>http://dx.doi.org/10.1111/j.1365-201X.2005.01464.x</v>
      </c>
      <c r="BG819" t="s">
        <v>74</v>
      </c>
      <c r="BH819" t="s">
        <v>74</v>
      </c>
      <c r="BI819">
        <v>10</v>
      </c>
      <c r="BJ819" t="s">
        <v>12473</v>
      </c>
      <c r="BK819" t="s">
        <v>1411</v>
      </c>
      <c r="BL819" t="s">
        <v>12473</v>
      </c>
      <c r="BM819" t="s">
        <v>12474</v>
      </c>
      <c r="BN819">
        <v>16026418</v>
      </c>
      <c r="BO819" t="s">
        <v>74</v>
      </c>
      <c r="BP819" t="s">
        <v>74</v>
      </c>
      <c r="BQ819" t="s">
        <v>74</v>
      </c>
      <c r="BR819" t="s">
        <v>101</v>
      </c>
      <c r="BS819" t="s">
        <v>12475</v>
      </c>
      <c r="BT819" t="str">
        <f>HYPERLINK("https%3A%2F%2Fwww.webofscience.com%2Fwos%2Fwoscc%2Ffull-record%2FWOS:000230891200002","View Full Record in Web of Science")</f>
        <v>View Full Record in Web of Science</v>
      </c>
    </row>
    <row r="820" spans="1:72" x14ac:dyDescent="0.15">
      <c r="A820" t="s">
        <v>72</v>
      </c>
      <c r="B820" t="s">
        <v>12476</v>
      </c>
      <c r="C820" t="s">
        <v>74</v>
      </c>
      <c r="D820" t="s">
        <v>74</v>
      </c>
      <c r="E820" t="s">
        <v>74</v>
      </c>
      <c r="F820" t="s">
        <v>12476</v>
      </c>
      <c r="G820" t="s">
        <v>74</v>
      </c>
      <c r="H820" t="s">
        <v>74</v>
      </c>
      <c r="I820" t="s">
        <v>12477</v>
      </c>
      <c r="J820" t="s">
        <v>12478</v>
      </c>
      <c r="K820" t="s">
        <v>74</v>
      </c>
      <c r="L820" t="s">
        <v>74</v>
      </c>
      <c r="M820" t="s">
        <v>77</v>
      </c>
      <c r="N820" t="s">
        <v>78</v>
      </c>
      <c r="O820" t="s">
        <v>74</v>
      </c>
      <c r="P820" t="s">
        <v>74</v>
      </c>
      <c r="Q820" t="s">
        <v>74</v>
      </c>
      <c r="R820" t="s">
        <v>74</v>
      </c>
      <c r="S820" t="s">
        <v>74</v>
      </c>
      <c r="T820" t="s">
        <v>74</v>
      </c>
      <c r="U820" t="s">
        <v>12479</v>
      </c>
      <c r="V820" t="s">
        <v>12480</v>
      </c>
      <c r="W820" t="s">
        <v>12481</v>
      </c>
      <c r="X820" t="s">
        <v>12482</v>
      </c>
      <c r="Y820" t="s">
        <v>12483</v>
      </c>
      <c r="Z820" t="s">
        <v>12484</v>
      </c>
      <c r="AA820" t="s">
        <v>12485</v>
      </c>
      <c r="AB820" t="s">
        <v>12486</v>
      </c>
      <c r="AC820" t="s">
        <v>74</v>
      </c>
      <c r="AD820" t="s">
        <v>74</v>
      </c>
      <c r="AE820" t="s">
        <v>74</v>
      </c>
      <c r="AF820" t="s">
        <v>74</v>
      </c>
      <c r="AG820">
        <v>15</v>
      </c>
      <c r="AH820">
        <v>29</v>
      </c>
      <c r="AI820">
        <v>40</v>
      </c>
      <c r="AJ820">
        <v>0</v>
      </c>
      <c r="AK820">
        <v>20</v>
      </c>
      <c r="AL820" t="s">
        <v>88</v>
      </c>
      <c r="AM820" t="s">
        <v>162</v>
      </c>
      <c r="AN820" t="s">
        <v>163</v>
      </c>
      <c r="AO820" t="s">
        <v>12487</v>
      </c>
      <c r="AP820" t="s">
        <v>12488</v>
      </c>
      <c r="AQ820" t="s">
        <v>74</v>
      </c>
      <c r="AR820" t="s">
        <v>12478</v>
      </c>
      <c r="AS820" t="s">
        <v>12489</v>
      </c>
      <c r="AT820" t="s">
        <v>12471</v>
      </c>
      <c r="AU820">
        <v>2005</v>
      </c>
      <c r="AV820">
        <v>34</v>
      </c>
      <c r="AW820">
        <v>6</v>
      </c>
      <c r="AX820" t="s">
        <v>74</v>
      </c>
      <c r="AY820" t="s">
        <v>74</v>
      </c>
      <c r="AZ820" t="s">
        <v>74</v>
      </c>
      <c r="BA820" t="s">
        <v>74</v>
      </c>
      <c r="BB820">
        <v>430</v>
      </c>
      <c r="BC820">
        <v>432</v>
      </c>
      <c r="BD820" t="s">
        <v>74</v>
      </c>
      <c r="BE820" t="s">
        <v>12490</v>
      </c>
      <c r="BF820" t="str">
        <f>HYPERLINK("http://dx.doi.org/10.1639/0044-7447(2005)034[0430:ISOHBP]2.0.CO;2","http://dx.doi.org/10.1639/0044-7447(2005)034[0430:ISOHBP]2.0.CO;2")</f>
        <v>http://dx.doi.org/10.1639/0044-7447(2005)034[0430:ISOHBP]2.0.CO;2</v>
      </c>
      <c r="BG820" t="s">
        <v>74</v>
      </c>
      <c r="BH820" t="s">
        <v>74</v>
      </c>
      <c r="BI820">
        <v>3</v>
      </c>
      <c r="BJ820" t="s">
        <v>5374</v>
      </c>
      <c r="BK820" t="s">
        <v>98</v>
      </c>
      <c r="BL820" t="s">
        <v>5375</v>
      </c>
      <c r="BM820" t="s">
        <v>12491</v>
      </c>
      <c r="BN820">
        <v>16201212</v>
      </c>
      <c r="BO820" t="s">
        <v>74</v>
      </c>
      <c r="BP820" t="s">
        <v>74</v>
      </c>
      <c r="BQ820" t="s">
        <v>74</v>
      </c>
      <c r="BR820" t="s">
        <v>101</v>
      </c>
      <c r="BS820" t="s">
        <v>12492</v>
      </c>
      <c r="BT820" t="str">
        <f>HYPERLINK("https%3A%2F%2Fwww.webofscience.com%2Fwos%2Fwoscc%2Ffull-record%2FWOS:000231178800002","View Full Record in Web of Science")</f>
        <v>View Full Record in Web of Science</v>
      </c>
    </row>
    <row r="821" spans="1:72" x14ac:dyDescent="0.15">
      <c r="A821" t="s">
        <v>72</v>
      </c>
      <c r="B821" t="s">
        <v>12493</v>
      </c>
      <c r="C821" t="s">
        <v>74</v>
      </c>
      <c r="D821" t="s">
        <v>74</v>
      </c>
      <c r="E821" t="s">
        <v>74</v>
      </c>
      <c r="F821" t="s">
        <v>12493</v>
      </c>
      <c r="G821" t="s">
        <v>74</v>
      </c>
      <c r="H821" t="s">
        <v>74</v>
      </c>
      <c r="I821" t="s">
        <v>12494</v>
      </c>
      <c r="J821" t="s">
        <v>12495</v>
      </c>
      <c r="K821" t="s">
        <v>74</v>
      </c>
      <c r="L821" t="s">
        <v>74</v>
      </c>
      <c r="M821" t="s">
        <v>77</v>
      </c>
      <c r="N821" t="s">
        <v>78</v>
      </c>
      <c r="O821" t="s">
        <v>74</v>
      </c>
      <c r="P821" t="s">
        <v>74</v>
      </c>
      <c r="Q821" t="s">
        <v>74</v>
      </c>
      <c r="R821" t="s">
        <v>74</v>
      </c>
      <c r="S821" t="s">
        <v>74</v>
      </c>
      <c r="T821" t="s">
        <v>12496</v>
      </c>
      <c r="U821" t="s">
        <v>12497</v>
      </c>
      <c r="V821" t="s">
        <v>12498</v>
      </c>
      <c r="W821" t="s">
        <v>12499</v>
      </c>
      <c r="X821" t="s">
        <v>12500</v>
      </c>
      <c r="Y821" t="s">
        <v>12501</v>
      </c>
      <c r="Z821" t="s">
        <v>12502</v>
      </c>
      <c r="AA821" t="s">
        <v>12503</v>
      </c>
      <c r="AB821" t="s">
        <v>12504</v>
      </c>
      <c r="AC821" t="s">
        <v>74</v>
      </c>
      <c r="AD821" t="s">
        <v>74</v>
      </c>
      <c r="AE821" t="s">
        <v>74</v>
      </c>
      <c r="AF821" t="s">
        <v>74</v>
      </c>
      <c r="AG821">
        <v>47</v>
      </c>
      <c r="AH821">
        <v>93</v>
      </c>
      <c r="AI821">
        <v>110</v>
      </c>
      <c r="AJ821">
        <v>3</v>
      </c>
      <c r="AK821">
        <v>45</v>
      </c>
      <c r="AL821" t="s">
        <v>2025</v>
      </c>
      <c r="AM821" t="s">
        <v>2026</v>
      </c>
      <c r="AN821" t="s">
        <v>2027</v>
      </c>
      <c r="AO821" t="s">
        <v>12505</v>
      </c>
      <c r="AP821" t="s">
        <v>12506</v>
      </c>
      <c r="AQ821" t="s">
        <v>74</v>
      </c>
      <c r="AR821" t="s">
        <v>12507</v>
      </c>
      <c r="AS821" t="s">
        <v>12508</v>
      </c>
      <c r="AT821" t="s">
        <v>12471</v>
      </c>
      <c r="AU821">
        <v>2005</v>
      </c>
      <c r="AV821">
        <v>11</v>
      </c>
      <c r="AW821">
        <v>4</v>
      </c>
      <c r="AX821" t="s">
        <v>74</v>
      </c>
      <c r="AY821" t="s">
        <v>74</v>
      </c>
      <c r="AZ821" t="s">
        <v>74</v>
      </c>
      <c r="BA821" t="s">
        <v>74</v>
      </c>
      <c r="BB821">
        <v>241</v>
      </c>
      <c r="BC821">
        <v>250</v>
      </c>
      <c r="BD821" t="s">
        <v>74</v>
      </c>
      <c r="BE821" t="s">
        <v>12509</v>
      </c>
      <c r="BF821" t="str">
        <f>HYPERLINK("http://dx.doi.org/10.1111/j.1365-2095.2005.00346.x","http://dx.doi.org/10.1111/j.1365-2095.2005.00346.x")</f>
        <v>http://dx.doi.org/10.1111/j.1365-2095.2005.00346.x</v>
      </c>
      <c r="BG821" t="s">
        <v>74</v>
      </c>
      <c r="BH821" t="s">
        <v>74</v>
      </c>
      <c r="BI821">
        <v>10</v>
      </c>
      <c r="BJ821" t="s">
        <v>225</v>
      </c>
      <c r="BK821" t="s">
        <v>98</v>
      </c>
      <c r="BL821" t="s">
        <v>225</v>
      </c>
      <c r="BM821" t="s">
        <v>12510</v>
      </c>
      <c r="BN821" t="s">
        <v>74</v>
      </c>
      <c r="BO821" t="s">
        <v>6861</v>
      </c>
      <c r="BP821" t="s">
        <v>74</v>
      </c>
      <c r="BQ821" t="s">
        <v>74</v>
      </c>
      <c r="BR821" t="s">
        <v>101</v>
      </c>
      <c r="BS821" t="s">
        <v>12511</v>
      </c>
      <c r="BT821" t="str">
        <f>HYPERLINK("https%3A%2F%2Fwww.webofscience.com%2Fwos%2Fwoscc%2Ffull-record%2FWOS:000230433200002","View Full Record in Web of Science")</f>
        <v>View Full Record in Web of Science</v>
      </c>
    </row>
    <row r="822" spans="1:72" x14ac:dyDescent="0.15">
      <c r="A822" t="s">
        <v>72</v>
      </c>
      <c r="B822" t="s">
        <v>12512</v>
      </c>
      <c r="C822" t="s">
        <v>74</v>
      </c>
      <c r="D822" t="s">
        <v>74</v>
      </c>
      <c r="E822" t="s">
        <v>74</v>
      </c>
      <c r="F822" t="s">
        <v>12512</v>
      </c>
      <c r="G822" t="s">
        <v>74</v>
      </c>
      <c r="H822" t="s">
        <v>74</v>
      </c>
      <c r="I822" t="s">
        <v>12513</v>
      </c>
      <c r="J822" t="s">
        <v>7990</v>
      </c>
      <c r="K822" t="s">
        <v>74</v>
      </c>
      <c r="L822" t="s">
        <v>74</v>
      </c>
      <c r="M822" t="s">
        <v>77</v>
      </c>
      <c r="N822" t="s">
        <v>78</v>
      </c>
      <c r="O822" t="s">
        <v>74</v>
      </c>
      <c r="P822" t="s">
        <v>74</v>
      </c>
      <c r="Q822" t="s">
        <v>74</v>
      </c>
      <c r="R822" t="s">
        <v>74</v>
      </c>
      <c r="S822" t="s">
        <v>74</v>
      </c>
      <c r="T822" t="s">
        <v>74</v>
      </c>
      <c r="U822" t="s">
        <v>12514</v>
      </c>
      <c r="V822" t="s">
        <v>12515</v>
      </c>
      <c r="W822" t="s">
        <v>12516</v>
      </c>
      <c r="X822" t="s">
        <v>12517</v>
      </c>
      <c r="Y822" t="s">
        <v>12518</v>
      </c>
      <c r="Z822" t="s">
        <v>12519</v>
      </c>
      <c r="AA822" t="s">
        <v>74</v>
      </c>
      <c r="AB822" t="s">
        <v>74</v>
      </c>
      <c r="AC822" t="s">
        <v>74</v>
      </c>
      <c r="AD822" t="s">
        <v>74</v>
      </c>
      <c r="AE822" t="s">
        <v>74</v>
      </c>
      <c r="AF822" t="s">
        <v>74</v>
      </c>
      <c r="AG822">
        <v>42</v>
      </c>
      <c r="AH822">
        <v>30</v>
      </c>
      <c r="AI822">
        <v>40</v>
      </c>
      <c r="AJ822">
        <v>0</v>
      </c>
      <c r="AK822">
        <v>55</v>
      </c>
      <c r="AL822" t="s">
        <v>7999</v>
      </c>
      <c r="AM822" t="s">
        <v>605</v>
      </c>
      <c r="AN822" t="s">
        <v>8000</v>
      </c>
      <c r="AO822" t="s">
        <v>8001</v>
      </c>
      <c r="AP822" t="s">
        <v>74</v>
      </c>
      <c r="AQ822" t="s">
        <v>74</v>
      </c>
      <c r="AR822" t="s">
        <v>8003</v>
      </c>
      <c r="AS822" t="s">
        <v>8004</v>
      </c>
      <c r="AT822" t="s">
        <v>12471</v>
      </c>
      <c r="AU822">
        <v>2005</v>
      </c>
      <c r="AV822">
        <v>37</v>
      </c>
      <c r="AW822">
        <v>3</v>
      </c>
      <c r="AX822" t="s">
        <v>74</v>
      </c>
      <c r="AY822" t="s">
        <v>74</v>
      </c>
      <c r="AZ822" t="s">
        <v>74</v>
      </c>
      <c r="BA822" t="s">
        <v>74</v>
      </c>
      <c r="BB822">
        <v>269</v>
      </c>
      <c r="BC822">
        <v>275</v>
      </c>
      <c r="BD822" t="s">
        <v>74</v>
      </c>
      <c r="BE822" t="s">
        <v>12520</v>
      </c>
      <c r="BF822" t="str">
        <f>HYPERLINK("http://dx.doi.org/10.1657/1523-0430(2005)037[0269:GCIVAL]2.0.CO;2","http://dx.doi.org/10.1657/1523-0430(2005)037[0269:GCIVAL]2.0.CO;2")</f>
        <v>http://dx.doi.org/10.1657/1523-0430(2005)037[0269:GCIVAL]2.0.CO;2</v>
      </c>
      <c r="BG822" t="s">
        <v>74</v>
      </c>
      <c r="BH822" t="s">
        <v>74</v>
      </c>
      <c r="BI822">
        <v>7</v>
      </c>
      <c r="BJ822" t="s">
        <v>8006</v>
      </c>
      <c r="BK822" t="s">
        <v>98</v>
      </c>
      <c r="BL822" t="s">
        <v>8007</v>
      </c>
      <c r="BM822" t="s">
        <v>12521</v>
      </c>
      <c r="BN822" t="s">
        <v>74</v>
      </c>
      <c r="BO822" t="s">
        <v>2276</v>
      </c>
      <c r="BP822" t="s">
        <v>74</v>
      </c>
      <c r="BQ822" t="s">
        <v>74</v>
      </c>
      <c r="BR822" t="s">
        <v>101</v>
      </c>
      <c r="BS822" t="s">
        <v>12522</v>
      </c>
      <c r="BT822" t="str">
        <f>HYPERLINK("https%3A%2F%2Fwww.webofscience.com%2Fwos%2Fwoscc%2Ffull-record%2FWOS:000231886800001","View Full Record in Web of Science")</f>
        <v>View Full Record in Web of Science</v>
      </c>
    </row>
    <row r="823" spans="1:72" x14ac:dyDescent="0.15">
      <c r="A823" t="s">
        <v>72</v>
      </c>
      <c r="B823" t="s">
        <v>12523</v>
      </c>
      <c r="C823" t="s">
        <v>74</v>
      </c>
      <c r="D823" t="s">
        <v>74</v>
      </c>
      <c r="E823" t="s">
        <v>74</v>
      </c>
      <c r="F823" t="s">
        <v>12523</v>
      </c>
      <c r="G823" t="s">
        <v>74</v>
      </c>
      <c r="H823" t="s">
        <v>74</v>
      </c>
      <c r="I823" t="s">
        <v>12524</v>
      </c>
      <c r="J823" t="s">
        <v>7990</v>
      </c>
      <c r="K823" t="s">
        <v>74</v>
      </c>
      <c r="L823" t="s">
        <v>74</v>
      </c>
      <c r="M823" t="s">
        <v>77</v>
      </c>
      <c r="N823" t="s">
        <v>78</v>
      </c>
      <c r="O823" t="s">
        <v>74</v>
      </c>
      <c r="P823" t="s">
        <v>74</v>
      </c>
      <c r="Q823" t="s">
        <v>74</v>
      </c>
      <c r="R823" t="s">
        <v>74</v>
      </c>
      <c r="S823" t="s">
        <v>74</v>
      </c>
      <c r="T823" t="s">
        <v>74</v>
      </c>
      <c r="U823" t="s">
        <v>12525</v>
      </c>
      <c r="V823" t="s">
        <v>12526</v>
      </c>
      <c r="W823" t="s">
        <v>12527</v>
      </c>
      <c r="X823" t="s">
        <v>6632</v>
      </c>
      <c r="Y823" t="s">
        <v>12528</v>
      </c>
      <c r="Z823" t="s">
        <v>12529</v>
      </c>
      <c r="AA823" t="s">
        <v>74</v>
      </c>
      <c r="AB823" t="s">
        <v>74</v>
      </c>
      <c r="AC823" t="s">
        <v>74</v>
      </c>
      <c r="AD823" t="s">
        <v>74</v>
      </c>
      <c r="AE823" t="s">
        <v>74</v>
      </c>
      <c r="AF823" t="s">
        <v>74</v>
      </c>
      <c r="AG823">
        <v>25</v>
      </c>
      <c r="AH823">
        <v>15</v>
      </c>
      <c r="AI823">
        <v>17</v>
      </c>
      <c r="AJ823">
        <v>0</v>
      </c>
      <c r="AK823">
        <v>5</v>
      </c>
      <c r="AL823" t="s">
        <v>7999</v>
      </c>
      <c r="AM823" t="s">
        <v>605</v>
      </c>
      <c r="AN823" t="s">
        <v>8000</v>
      </c>
      <c r="AO823" t="s">
        <v>8001</v>
      </c>
      <c r="AP823" t="s">
        <v>8002</v>
      </c>
      <c r="AQ823" t="s">
        <v>74</v>
      </c>
      <c r="AR823" t="s">
        <v>8003</v>
      </c>
      <c r="AS823" t="s">
        <v>8004</v>
      </c>
      <c r="AT823" t="s">
        <v>12471</v>
      </c>
      <c r="AU823">
        <v>2005</v>
      </c>
      <c r="AV823">
        <v>37</v>
      </c>
      <c r="AW823">
        <v>3</v>
      </c>
      <c r="AX823" t="s">
        <v>74</v>
      </c>
      <c r="AY823" t="s">
        <v>74</v>
      </c>
      <c r="AZ823" t="s">
        <v>74</v>
      </c>
      <c r="BA823" t="s">
        <v>74</v>
      </c>
      <c r="BB823">
        <v>276</v>
      </c>
      <c r="BC823">
        <v>283</v>
      </c>
      <c r="BD823" t="s">
        <v>74</v>
      </c>
      <c r="BE823" t="s">
        <v>12530</v>
      </c>
      <c r="BF823" t="str">
        <f>HYPERLINK("http://dx.doi.org/10.1657/1523-0430(2005)037[0276:AODPDA]2.0.CO;2","http://dx.doi.org/10.1657/1523-0430(2005)037[0276:AODPDA]2.0.CO;2")</f>
        <v>http://dx.doi.org/10.1657/1523-0430(2005)037[0276:AODPDA]2.0.CO;2</v>
      </c>
      <c r="BG823" t="s">
        <v>74</v>
      </c>
      <c r="BH823" t="s">
        <v>74</v>
      </c>
      <c r="BI823">
        <v>8</v>
      </c>
      <c r="BJ823" t="s">
        <v>8006</v>
      </c>
      <c r="BK823" t="s">
        <v>98</v>
      </c>
      <c r="BL823" t="s">
        <v>8007</v>
      </c>
      <c r="BM823" t="s">
        <v>12521</v>
      </c>
      <c r="BN823" t="s">
        <v>74</v>
      </c>
      <c r="BO823" t="s">
        <v>534</v>
      </c>
      <c r="BP823" t="s">
        <v>74</v>
      </c>
      <c r="BQ823" t="s">
        <v>74</v>
      </c>
      <c r="BR823" t="s">
        <v>101</v>
      </c>
      <c r="BS823" t="s">
        <v>12531</v>
      </c>
      <c r="BT823" t="str">
        <f>HYPERLINK("https%3A%2F%2Fwww.webofscience.com%2Fwos%2Fwoscc%2Ffull-record%2FWOS:000231886800002","View Full Record in Web of Science")</f>
        <v>View Full Record in Web of Science</v>
      </c>
    </row>
    <row r="824" spans="1:72" x14ac:dyDescent="0.15">
      <c r="A824" t="s">
        <v>72</v>
      </c>
      <c r="B824" t="s">
        <v>12532</v>
      </c>
      <c r="C824" t="s">
        <v>74</v>
      </c>
      <c r="D824" t="s">
        <v>74</v>
      </c>
      <c r="E824" t="s">
        <v>74</v>
      </c>
      <c r="F824" t="s">
        <v>12532</v>
      </c>
      <c r="G824" t="s">
        <v>74</v>
      </c>
      <c r="H824" t="s">
        <v>74</v>
      </c>
      <c r="I824" t="s">
        <v>12533</v>
      </c>
      <c r="J824" t="s">
        <v>7990</v>
      </c>
      <c r="K824" t="s">
        <v>74</v>
      </c>
      <c r="L824" t="s">
        <v>74</v>
      </c>
      <c r="M824" t="s">
        <v>77</v>
      </c>
      <c r="N824" t="s">
        <v>78</v>
      </c>
      <c r="O824" t="s">
        <v>74</v>
      </c>
      <c r="P824" t="s">
        <v>74</v>
      </c>
      <c r="Q824" t="s">
        <v>74</v>
      </c>
      <c r="R824" t="s">
        <v>74</v>
      </c>
      <c r="S824" t="s">
        <v>74</v>
      </c>
      <c r="T824" t="s">
        <v>74</v>
      </c>
      <c r="U824" t="s">
        <v>12534</v>
      </c>
      <c r="V824" t="s">
        <v>12535</v>
      </c>
      <c r="W824" t="s">
        <v>12536</v>
      </c>
      <c r="X824" t="s">
        <v>12537</v>
      </c>
      <c r="Y824" t="s">
        <v>12538</v>
      </c>
      <c r="Z824" t="s">
        <v>12539</v>
      </c>
      <c r="AA824" t="s">
        <v>74</v>
      </c>
      <c r="AB824" t="s">
        <v>74</v>
      </c>
      <c r="AC824" t="s">
        <v>74</v>
      </c>
      <c r="AD824" t="s">
        <v>74</v>
      </c>
      <c r="AE824" t="s">
        <v>74</v>
      </c>
      <c r="AF824" t="s">
        <v>74</v>
      </c>
      <c r="AG824">
        <v>80</v>
      </c>
      <c r="AH824">
        <v>97</v>
      </c>
      <c r="AI824">
        <v>111</v>
      </c>
      <c r="AJ824">
        <v>0</v>
      </c>
      <c r="AK824">
        <v>51</v>
      </c>
      <c r="AL824" t="s">
        <v>348</v>
      </c>
      <c r="AM824" t="s">
        <v>349</v>
      </c>
      <c r="AN824" t="s">
        <v>1523</v>
      </c>
      <c r="AO824" t="s">
        <v>8001</v>
      </c>
      <c r="AP824" t="s">
        <v>8002</v>
      </c>
      <c r="AQ824" t="s">
        <v>74</v>
      </c>
      <c r="AR824" t="s">
        <v>8003</v>
      </c>
      <c r="AS824" t="s">
        <v>8004</v>
      </c>
      <c r="AT824" t="s">
        <v>12471</v>
      </c>
      <c r="AU824">
        <v>2005</v>
      </c>
      <c r="AV824">
        <v>37</v>
      </c>
      <c r="AW824">
        <v>3</v>
      </c>
      <c r="AX824" t="s">
        <v>74</v>
      </c>
      <c r="AY824" t="s">
        <v>74</v>
      </c>
      <c r="AZ824" t="s">
        <v>74</v>
      </c>
      <c r="BA824" t="s">
        <v>74</v>
      </c>
      <c r="BB824">
        <v>284</v>
      </c>
      <c r="BC824">
        <v>296</v>
      </c>
      <c r="BD824" t="s">
        <v>74</v>
      </c>
      <c r="BE824" t="s">
        <v>12540</v>
      </c>
      <c r="BF824" t="str">
        <f>HYPERLINK("http://dx.doi.org/10.1657/1523-0430(2005)037[0284:DRTDIT]2.0.CO;2","http://dx.doi.org/10.1657/1523-0430(2005)037[0284:DRTDIT]2.0.CO;2")</f>
        <v>http://dx.doi.org/10.1657/1523-0430(2005)037[0284:DRTDIT]2.0.CO;2</v>
      </c>
      <c r="BG824" t="s">
        <v>74</v>
      </c>
      <c r="BH824" t="s">
        <v>74</v>
      </c>
      <c r="BI824">
        <v>13</v>
      </c>
      <c r="BJ824" t="s">
        <v>8006</v>
      </c>
      <c r="BK824" t="s">
        <v>98</v>
      </c>
      <c r="BL824" t="s">
        <v>8007</v>
      </c>
      <c r="BM824" t="s">
        <v>12521</v>
      </c>
      <c r="BN824" t="s">
        <v>74</v>
      </c>
      <c r="BO824" t="s">
        <v>534</v>
      </c>
      <c r="BP824" t="s">
        <v>74</v>
      </c>
      <c r="BQ824" t="s">
        <v>74</v>
      </c>
      <c r="BR824" t="s">
        <v>101</v>
      </c>
      <c r="BS824" t="s">
        <v>12541</v>
      </c>
      <c r="BT824" t="str">
        <f>HYPERLINK("https%3A%2F%2Fwww.webofscience.com%2Fwos%2Fwoscc%2Ffull-record%2FWOS:000231886800003","View Full Record in Web of Science")</f>
        <v>View Full Record in Web of Science</v>
      </c>
    </row>
    <row r="825" spans="1:72" x14ac:dyDescent="0.15">
      <c r="A825" t="s">
        <v>72</v>
      </c>
      <c r="B825" t="s">
        <v>12542</v>
      </c>
      <c r="C825" t="s">
        <v>74</v>
      </c>
      <c r="D825" t="s">
        <v>74</v>
      </c>
      <c r="E825" t="s">
        <v>74</v>
      </c>
      <c r="F825" t="s">
        <v>12542</v>
      </c>
      <c r="G825" t="s">
        <v>74</v>
      </c>
      <c r="H825" t="s">
        <v>74</v>
      </c>
      <c r="I825" t="s">
        <v>12543</v>
      </c>
      <c r="J825" t="s">
        <v>7990</v>
      </c>
      <c r="K825" t="s">
        <v>74</v>
      </c>
      <c r="L825" t="s">
        <v>74</v>
      </c>
      <c r="M825" t="s">
        <v>77</v>
      </c>
      <c r="N825" t="s">
        <v>78</v>
      </c>
      <c r="O825" t="s">
        <v>74</v>
      </c>
      <c r="P825" t="s">
        <v>74</v>
      </c>
      <c r="Q825" t="s">
        <v>74</v>
      </c>
      <c r="R825" t="s">
        <v>74</v>
      </c>
      <c r="S825" t="s">
        <v>74</v>
      </c>
      <c r="T825" t="s">
        <v>74</v>
      </c>
      <c r="U825" t="s">
        <v>12544</v>
      </c>
      <c r="V825" t="s">
        <v>12545</v>
      </c>
      <c r="W825" t="s">
        <v>12546</v>
      </c>
      <c r="X825" t="s">
        <v>11367</v>
      </c>
      <c r="Y825" t="s">
        <v>12547</v>
      </c>
      <c r="Z825" t="s">
        <v>12548</v>
      </c>
      <c r="AA825" t="s">
        <v>74</v>
      </c>
      <c r="AB825" t="s">
        <v>74</v>
      </c>
      <c r="AC825" t="s">
        <v>74</v>
      </c>
      <c r="AD825" t="s">
        <v>74</v>
      </c>
      <c r="AE825" t="s">
        <v>74</v>
      </c>
      <c r="AF825" t="s">
        <v>74</v>
      </c>
      <c r="AG825">
        <v>43</v>
      </c>
      <c r="AH825">
        <v>20</v>
      </c>
      <c r="AI825">
        <v>25</v>
      </c>
      <c r="AJ825">
        <v>0</v>
      </c>
      <c r="AK825">
        <v>17</v>
      </c>
      <c r="AL825" t="s">
        <v>348</v>
      </c>
      <c r="AM825" t="s">
        <v>349</v>
      </c>
      <c r="AN825" t="s">
        <v>1523</v>
      </c>
      <c r="AO825" t="s">
        <v>8001</v>
      </c>
      <c r="AP825" t="s">
        <v>8002</v>
      </c>
      <c r="AQ825" t="s">
        <v>74</v>
      </c>
      <c r="AR825" t="s">
        <v>8003</v>
      </c>
      <c r="AS825" t="s">
        <v>8004</v>
      </c>
      <c r="AT825" t="s">
        <v>12471</v>
      </c>
      <c r="AU825">
        <v>2005</v>
      </c>
      <c r="AV825">
        <v>37</v>
      </c>
      <c r="AW825">
        <v>3</v>
      </c>
      <c r="AX825" t="s">
        <v>74</v>
      </c>
      <c r="AY825" t="s">
        <v>74</v>
      </c>
      <c r="AZ825" t="s">
        <v>74</v>
      </c>
      <c r="BA825" t="s">
        <v>74</v>
      </c>
      <c r="BB825">
        <v>297</v>
      </c>
      <c r="BC825">
        <v>303</v>
      </c>
      <c r="BD825" t="s">
        <v>74</v>
      </c>
      <c r="BE825" t="s">
        <v>12549</v>
      </c>
      <c r="BF825" t="str">
        <f>HYPERLINK("http://dx.doi.org/10.1657/1523-0430(2005)037[0297:SOSPMS]2.0.CO;2","http://dx.doi.org/10.1657/1523-0430(2005)037[0297:SOSPMS]2.0.CO;2")</f>
        <v>http://dx.doi.org/10.1657/1523-0430(2005)037[0297:SOSPMS]2.0.CO;2</v>
      </c>
      <c r="BG825" t="s">
        <v>74</v>
      </c>
      <c r="BH825" t="s">
        <v>74</v>
      </c>
      <c r="BI825">
        <v>7</v>
      </c>
      <c r="BJ825" t="s">
        <v>8006</v>
      </c>
      <c r="BK825" t="s">
        <v>98</v>
      </c>
      <c r="BL825" t="s">
        <v>8007</v>
      </c>
      <c r="BM825" t="s">
        <v>12521</v>
      </c>
      <c r="BN825" t="s">
        <v>74</v>
      </c>
      <c r="BO825" t="s">
        <v>534</v>
      </c>
      <c r="BP825" t="s">
        <v>74</v>
      </c>
      <c r="BQ825" t="s">
        <v>74</v>
      </c>
      <c r="BR825" t="s">
        <v>101</v>
      </c>
      <c r="BS825" t="s">
        <v>12550</v>
      </c>
      <c r="BT825" t="str">
        <f>HYPERLINK("https%3A%2F%2Fwww.webofscience.com%2Fwos%2Fwoscc%2Ffull-record%2FWOS:000231886800004","View Full Record in Web of Science")</f>
        <v>View Full Record in Web of Science</v>
      </c>
    </row>
    <row r="826" spans="1:72" x14ac:dyDescent="0.15">
      <c r="A826" t="s">
        <v>72</v>
      </c>
      <c r="B826" t="s">
        <v>12551</v>
      </c>
      <c r="C826" t="s">
        <v>74</v>
      </c>
      <c r="D826" t="s">
        <v>74</v>
      </c>
      <c r="E826" t="s">
        <v>74</v>
      </c>
      <c r="F826" t="s">
        <v>12551</v>
      </c>
      <c r="G826" t="s">
        <v>74</v>
      </c>
      <c r="H826" t="s">
        <v>74</v>
      </c>
      <c r="I826" t="s">
        <v>12552</v>
      </c>
      <c r="J826" t="s">
        <v>7990</v>
      </c>
      <c r="K826" t="s">
        <v>74</v>
      </c>
      <c r="L826" t="s">
        <v>74</v>
      </c>
      <c r="M826" t="s">
        <v>77</v>
      </c>
      <c r="N826" t="s">
        <v>78</v>
      </c>
      <c r="O826" t="s">
        <v>74</v>
      </c>
      <c r="P826" t="s">
        <v>74</v>
      </c>
      <c r="Q826" t="s">
        <v>74</v>
      </c>
      <c r="R826" t="s">
        <v>74</v>
      </c>
      <c r="S826" t="s">
        <v>74</v>
      </c>
      <c r="T826" t="s">
        <v>74</v>
      </c>
      <c r="U826" t="s">
        <v>12553</v>
      </c>
      <c r="V826" t="s">
        <v>12554</v>
      </c>
      <c r="W826" t="s">
        <v>12555</v>
      </c>
      <c r="X826" t="s">
        <v>12556</v>
      </c>
      <c r="Y826" t="s">
        <v>12557</v>
      </c>
      <c r="Z826" t="s">
        <v>12558</v>
      </c>
      <c r="AA826" t="s">
        <v>74</v>
      </c>
      <c r="AB826" t="s">
        <v>74</v>
      </c>
      <c r="AC826" t="s">
        <v>74</v>
      </c>
      <c r="AD826" t="s">
        <v>74</v>
      </c>
      <c r="AE826" t="s">
        <v>74</v>
      </c>
      <c r="AF826" t="s">
        <v>74</v>
      </c>
      <c r="AG826">
        <v>37</v>
      </c>
      <c r="AH826">
        <v>49</v>
      </c>
      <c r="AI826">
        <v>62</v>
      </c>
      <c r="AJ826">
        <v>2</v>
      </c>
      <c r="AK826">
        <v>15</v>
      </c>
      <c r="AL826" t="s">
        <v>348</v>
      </c>
      <c r="AM826" t="s">
        <v>349</v>
      </c>
      <c r="AN826" t="s">
        <v>1523</v>
      </c>
      <c r="AO826" t="s">
        <v>8001</v>
      </c>
      <c r="AP826" t="s">
        <v>8002</v>
      </c>
      <c r="AQ826" t="s">
        <v>74</v>
      </c>
      <c r="AR826" t="s">
        <v>8003</v>
      </c>
      <c r="AS826" t="s">
        <v>8004</v>
      </c>
      <c r="AT826" t="s">
        <v>12471</v>
      </c>
      <c r="AU826">
        <v>2005</v>
      </c>
      <c r="AV826">
        <v>37</v>
      </c>
      <c r="AW826">
        <v>3</v>
      </c>
      <c r="AX826" t="s">
        <v>74</v>
      </c>
      <c r="AY826" t="s">
        <v>74</v>
      </c>
      <c r="AZ826" t="s">
        <v>74</v>
      </c>
      <c r="BA826" t="s">
        <v>74</v>
      </c>
      <c r="BB826">
        <v>304</v>
      </c>
      <c r="BC826">
        <v>315</v>
      </c>
      <c r="BD826" t="s">
        <v>74</v>
      </c>
      <c r="BE826" t="s">
        <v>12559</v>
      </c>
      <c r="BF826" t="str">
        <f>HYPERLINK("http://dx.doi.org/10.1657/1523-0430(2005)037[0304:CCOSAS]2.0.CO;2","http://dx.doi.org/10.1657/1523-0430(2005)037[0304:CCOSAS]2.0.CO;2")</f>
        <v>http://dx.doi.org/10.1657/1523-0430(2005)037[0304:CCOSAS]2.0.CO;2</v>
      </c>
      <c r="BG826" t="s">
        <v>74</v>
      </c>
      <c r="BH826" t="s">
        <v>74</v>
      </c>
      <c r="BI826">
        <v>12</v>
      </c>
      <c r="BJ826" t="s">
        <v>8006</v>
      </c>
      <c r="BK826" t="s">
        <v>98</v>
      </c>
      <c r="BL826" t="s">
        <v>8007</v>
      </c>
      <c r="BM826" t="s">
        <v>12521</v>
      </c>
      <c r="BN826" t="s">
        <v>74</v>
      </c>
      <c r="BO826" t="s">
        <v>2276</v>
      </c>
      <c r="BP826" t="s">
        <v>74</v>
      </c>
      <c r="BQ826" t="s">
        <v>74</v>
      </c>
      <c r="BR826" t="s">
        <v>101</v>
      </c>
      <c r="BS826" t="s">
        <v>12560</v>
      </c>
      <c r="BT826" t="str">
        <f>HYPERLINK("https%3A%2F%2Fwww.webofscience.com%2Fwos%2Fwoscc%2Ffull-record%2FWOS:000231886800005","View Full Record in Web of Science")</f>
        <v>View Full Record in Web of Science</v>
      </c>
    </row>
    <row r="827" spans="1:72" x14ac:dyDescent="0.15">
      <c r="A827" t="s">
        <v>72</v>
      </c>
      <c r="B827" t="s">
        <v>12561</v>
      </c>
      <c r="C827" t="s">
        <v>74</v>
      </c>
      <c r="D827" t="s">
        <v>74</v>
      </c>
      <c r="E827" t="s">
        <v>74</v>
      </c>
      <c r="F827" t="s">
        <v>12561</v>
      </c>
      <c r="G827" t="s">
        <v>74</v>
      </c>
      <c r="H827" t="s">
        <v>74</v>
      </c>
      <c r="I827" t="s">
        <v>12562</v>
      </c>
      <c r="J827" t="s">
        <v>7990</v>
      </c>
      <c r="K827" t="s">
        <v>74</v>
      </c>
      <c r="L827" t="s">
        <v>74</v>
      </c>
      <c r="M827" t="s">
        <v>77</v>
      </c>
      <c r="N827" t="s">
        <v>78</v>
      </c>
      <c r="O827" t="s">
        <v>74</v>
      </c>
      <c r="P827" t="s">
        <v>74</v>
      </c>
      <c r="Q827" t="s">
        <v>74</v>
      </c>
      <c r="R827" t="s">
        <v>74</v>
      </c>
      <c r="S827" t="s">
        <v>74</v>
      </c>
      <c r="T827" t="s">
        <v>74</v>
      </c>
      <c r="U827" t="s">
        <v>12563</v>
      </c>
      <c r="V827" t="s">
        <v>12564</v>
      </c>
      <c r="W827" t="s">
        <v>12565</v>
      </c>
      <c r="X827" t="s">
        <v>12566</v>
      </c>
      <c r="Y827" t="s">
        <v>12567</v>
      </c>
      <c r="Z827" t="s">
        <v>12568</v>
      </c>
      <c r="AA827" t="s">
        <v>74</v>
      </c>
      <c r="AB827" t="s">
        <v>74</v>
      </c>
      <c r="AC827" t="s">
        <v>74</v>
      </c>
      <c r="AD827" t="s">
        <v>74</v>
      </c>
      <c r="AE827" t="s">
        <v>74</v>
      </c>
      <c r="AF827" t="s">
        <v>74</v>
      </c>
      <c r="AG827">
        <v>17</v>
      </c>
      <c r="AH827">
        <v>3</v>
      </c>
      <c r="AI827">
        <v>4</v>
      </c>
      <c r="AJ827">
        <v>0</v>
      </c>
      <c r="AK827">
        <v>1</v>
      </c>
      <c r="AL827" t="s">
        <v>7999</v>
      </c>
      <c r="AM827" t="s">
        <v>605</v>
      </c>
      <c r="AN827" t="s">
        <v>8000</v>
      </c>
      <c r="AO827" t="s">
        <v>8001</v>
      </c>
      <c r="AP827" t="s">
        <v>8002</v>
      </c>
      <c r="AQ827" t="s">
        <v>74</v>
      </c>
      <c r="AR827" t="s">
        <v>8003</v>
      </c>
      <c r="AS827" t="s">
        <v>8004</v>
      </c>
      <c r="AT827" t="s">
        <v>12471</v>
      </c>
      <c r="AU827">
        <v>2005</v>
      </c>
      <c r="AV827">
        <v>37</v>
      </c>
      <c r="AW827">
        <v>3</v>
      </c>
      <c r="AX827" t="s">
        <v>74</v>
      </c>
      <c r="AY827" t="s">
        <v>74</v>
      </c>
      <c r="AZ827" t="s">
        <v>74</v>
      </c>
      <c r="BA827" t="s">
        <v>74</v>
      </c>
      <c r="BB827">
        <v>316</v>
      </c>
      <c r="BC827">
        <v>322</v>
      </c>
      <c r="BD827" t="s">
        <v>74</v>
      </c>
      <c r="BE827" t="s">
        <v>12569</v>
      </c>
      <c r="BF827" t="str">
        <f>HYPERLINK("http://dx.doi.org/10.1657/1523-0430(2005)037[0316:NFCFAS]2.0.CO;2","http://dx.doi.org/10.1657/1523-0430(2005)037[0316:NFCFAS]2.0.CO;2")</f>
        <v>http://dx.doi.org/10.1657/1523-0430(2005)037[0316:NFCFAS]2.0.CO;2</v>
      </c>
      <c r="BG827" t="s">
        <v>74</v>
      </c>
      <c r="BH827" t="s">
        <v>74</v>
      </c>
      <c r="BI827">
        <v>7</v>
      </c>
      <c r="BJ827" t="s">
        <v>8006</v>
      </c>
      <c r="BK827" t="s">
        <v>98</v>
      </c>
      <c r="BL827" t="s">
        <v>8007</v>
      </c>
      <c r="BM827" t="s">
        <v>12521</v>
      </c>
      <c r="BN827" t="s">
        <v>74</v>
      </c>
      <c r="BO827" t="s">
        <v>534</v>
      </c>
      <c r="BP827" t="s">
        <v>74</v>
      </c>
      <c r="BQ827" t="s">
        <v>74</v>
      </c>
      <c r="BR827" t="s">
        <v>101</v>
      </c>
      <c r="BS827" t="s">
        <v>12570</v>
      </c>
      <c r="BT827" t="str">
        <f>HYPERLINK("https%3A%2F%2Fwww.webofscience.com%2Fwos%2Fwoscc%2Ffull-record%2FWOS:000231886800006","View Full Record in Web of Science")</f>
        <v>View Full Record in Web of Science</v>
      </c>
    </row>
    <row r="828" spans="1:72" x14ac:dyDescent="0.15">
      <c r="A828" t="s">
        <v>72</v>
      </c>
      <c r="B828" t="s">
        <v>12571</v>
      </c>
      <c r="C828" t="s">
        <v>74</v>
      </c>
      <c r="D828" t="s">
        <v>74</v>
      </c>
      <c r="E828" t="s">
        <v>74</v>
      </c>
      <c r="F828" t="s">
        <v>12571</v>
      </c>
      <c r="G828" t="s">
        <v>74</v>
      </c>
      <c r="H828" t="s">
        <v>74</v>
      </c>
      <c r="I828" t="s">
        <v>12572</v>
      </c>
      <c r="J828" t="s">
        <v>7990</v>
      </c>
      <c r="K828" t="s">
        <v>74</v>
      </c>
      <c r="L828" t="s">
        <v>74</v>
      </c>
      <c r="M828" t="s">
        <v>77</v>
      </c>
      <c r="N828" t="s">
        <v>78</v>
      </c>
      <c r="O828" t="s">
        <v>74</v>
      </c>
      <c r="P828" t="s">
        <v>74</v>
      </c>
      <c r="Q828" t="s">
        <v>74</v>
      </c>
      <c r="R828" t="s">
        <v>74</v>
      </c>
      <c r="S828" t="s">
        <v>74</v>
      </c>
      <c r="T828" t="s">
        <v>74</v>
      </c>
      <c r="U828" t="s">
        <v>12573</v>
      </c>
      <c r="V828" t="s">
        <v>12574</v>
      </c>
      <c r="W828" t="s">
        <v>12575</v>
      </c>
      <c r="X828" t="s">
        <v>12576</v>
      </c>
      <c r="Y828" t="s">
        <v>12577</v>
      </c>
      <c r="Z828" t="s">
        <v>12578</v>
      </c>
      <c r="AA828" t="s">
        <v>12579</v>
      </c>
      <c r="AB828" t="s">
        <v>12580</v>
      </c>
      <c r="AC828" t="s">
        <v>74</v>
      </c>
      <c r="AD828" t="s">
        <v>74</v>
      </c>
      <c r="AE828" t="s">
        <v>74</v>
      </c>
      <c r="AF828" t="s">
        <v>74</v>
      </c>
      <c r="AG828">
        <v>22</v>
      </c>
      <c r="AH828">
        <v>16</v>
      </c>
      <c r="AI828">
        <v>16</v>
      </c>
      <c r="AJ828">
        <v>0</v>
      </c>
      <c r="AK828">
        <v>6</v>
      </c>
      <c r="AL828" t="s">
        <v>7999</v>
      </c>
      <c r="AM828" t="s">
        <v>605</v>
      </c>
      <c r="AN828" t="s">
        <v>8000</v>
      </c>
      <c r="AO828" t="s">
        <v>8001</v>
      </c>
      <c r="AP828" t="s">
        <v>74</v>
      </c>
      <c r="AQ828" t="s">
        <v>74</v>
      </c>
      <c r="AR828" t="s">
        <v>8003</v>
      </c>
      <c r="AS828" t="s">
        <v>8004</v>
      </c>
      <c r="AT828" t="s">
        <v>12471</v>
      </c>
      <c r="AU828">
        <v>2005</v>
      </c>
      <c r="AV828">
        <v>37</v>
      </c>
      <c r="AW828">
        <v>3</v>
      </c>
      <c r="AX828" t="s">
        <v>74</v>
      </c>
      <c r="AY828" t="s">
        <v>74</v>
      </c>
      <c r="AZ828" t="s">
        <v>74</v>
      </c>
      <c r="BA828" t="s">
        <v>74</v>
      </c>
      <c r="BB828">
        <v>323</v>
      </c>
      <c r="BC828">
        <v>330</v>
      </c>
      <c r="BD828" t="s">
        <v>74</v>
      </c>
      <c r="BE828" t="s">
        <v>12581</v>
      </c>
      <c r="BF828" t="str">
        <f>HYPERLINK("http://dx.doi.org/10.1657/1523-0430(2005)037[0323:MIMOFI]2.0.CO;2","http://dx.doi.org/10.1657/1523-0430(2005)037[0323:MIMOFI]2.0.CO;2")</f>
        <v>http://dx.doi.org/10.1657/1523-0430(2005)037[0323:MIMOFI]2.0.CO;2</v>
      </c>
      <c r="BG828" t="s">
        <v>74</v>
      </c>
      <c r="BH828" t="s">
        <v>74</v>
      </c>
      <c r="BI828">
        <v>8</v>
      </c>
      <c r="BJ828" t="s">
        <v>8006</v>
      </c>
      <c r="BK828" t="s">
        <v>98</v>
      </c>
      <c r="BL828" t="s">
        <v>8007</v>
      </c>
      <c r="BM828" t="s">
        <v>12521</v>
      </c>
      <c r="BN828" t="s">
        <v>74</v>
      </c>
      <c r="BO828" t="s">
        <v>534</v>
      </c>
      <c r="BP828" t="s">
        <v>74</v>
      </c>
      <c r="BQ828" t="s">
        <v>74</v>
      </c>
      <c r="BR828" t="s">
        <v>101</v>
      </c>
      <c r="BS828" t="s">
        <v>12582</v>
      </c>
      <c r="BT828" t="str">
        <f>HYPERLINK("https%3A%2F%2Fwww.webofscience.com%2Fwos%2Fwoscc%2Ffull-record%2FWOS:000231886800007","View Full Record in Web of Science")</f>
        <v>View Full Record in Web of Science</v>
      </c>
    </row>
    <row r="829" spans="1:72" x14ac:dyDescent="0.15">
      <c r="A829" t="s">
        <v>72</v>
      </c>
      <c r="B829" t="s">
        <v>12583</v>
      </c>
      <c r="C829" t="s">
        <v>74</v>
      </c>
      <c r="D829" t="s">
        <v>74</v>
      </c>
      <c r="E829" t="s">
        <v>74</v>
      </c>
      <c r="F829" t="s">
        <v>12583</v>
      </c>
      <c r="G829" t="s">
        <v>74</v>
      </c>
      <c r="H829" t="s">
        <v>74</v>
      </c>
      <c r="I829" t="s">
        <v>12584</v>
      </c>
      <c r="J829" t="s">
        <v>7990</v>
      </c>
      <c r="K829" t="s">
        <v>74</v>
      </c>
      <c r="L829" t="s">
        <v>74</v>
      </c>
      <c r="M829" t="s">
        <v>77</v>
      </c>
      <c r="N829" t="s">
        <v>78</v>
      </c>
      <c r="O829" t="s">
        <v>74</v>
      </c>
      <c r="P829" t="s">
        <v>74</v>
      </c>
      <c r="Q829" t="s">
        <v>74</v>
      </c>
      <c r="R829" t="s">
        <v>74</v>
      </c>
      <c r="S829" t="s">
        <v>74</v>
      </c>
      <c r="T829" t="s">
        <v>74</v>
      </c>
      <c r="U829" t="s">
        <v>12585</v>
      </c>
      <c r="V829" t="s">
        <v>12586</v>
      </c>
      <c r="W829" t="s">
        <v>12587</v>
      </c>
      <c r="X829" t="s">
        <v>12588</v>
      </c>
      <c r="Y829" t="s">
        <v>12589</v>
      </c>
      <c r="Z829" t="s">
        <v>12590</v>
      </c>
      <c r="AA829" t="s">
        <v>74</v>
      </c>
      <c r="AB829" t="s">
        <v>74</v>
      </c>
      <c r="AC829" t="s">
        <v>74</v>
      </c>
      <c r="AD829" t="s">
        <v>74</v>
      </c>
      <c r="AE829" t="s">
        <v>74</v>
      </c>
      <c r="AF829" t="s">
        <v>74</v>
      </c>
      <c r="AG829">
        <v>46</v>
      </c>
      <c r="AH829">
        <v>20</v>
      </c>
      <c r="AI829">
        <v>21</v>
      </c>
      <c r="AJ829">
        <v>2</v>
      </c>
      <c r="AK829">
        <v>15</v>
      </c>
      <c r="AL829" t="s">
        <v>7999</v>
      </c>
      <c r="AM829" t="s">
        <v>605</v>
      </c>
      <c r="AN829" t="s">
        <v>8000</v>
      </c>
      <c r="AO829" t="s">
        <v>8001</v>
      </c>
      <c r="AP829" t="s">
        <v>74</v>
      </c>
      <c r="AQ829" t="s">
        <v>74</v>
      </c>
      <c r="AR829" t="s">
        <v>8003</v>
      </c>
      <c r="AS829" t="s">
        <v>8004</v>
      </c>
      <c r="AT829" t="s">
        <v>12471</v>
      </c>
      <c r="AU829">
        <v>2005</v>
      </c>
      <c r="AV829">
        <v>37</v>
      </c>
      <c r="AW829">
        <v>3</v>
      </c>
      <c r="AX829" t="s">
        <v>74</v>
      </c>
      <c r="AY829" t="s">
        <v>74</v>
      </c>
      <c r="AZ829" t="s">
        <v>74</v>
      </c>
      <c r="BA829" t="s">
        <v>74</v>
      </c>
      <c r="BB829">
        <v>331</v>
      </c>
      <c r="BC829">
        <v>336</v>
      </c>
      <c r="BD829" t="s">
        <v>74</v>
      </c>
      <c r="BE829" t="s">
        <v>12591</v>
      </c>
      <c r="BF829" t="str">
        <f>HYPERLINK("http://dx.doi.org/10.1657/1523-0430(2005)037[0331:TIONAF]2.0.CO;2","http://dx.doi.org/10.1657/1523-0430(2005)037[0331:TIONAF]2.0.CO;2")</f>
        <v>http://dx.doi.org/10.1657/1523-0430(2005)037[0331:TIONAF]2.0.CO;2</v>
      </c>
      <c r="BG829" t="s">
        <v>74</v>
      </c>
      <c r="BH829" t="s">
        <v>74</v>
      </c>
      <c r="BI829">
        <v>6</v>
      </c>
      <c r="BJ829" t="s">
        <v>8006</v>
      </c>
      <c r="BK829" t="s">
        <v>98</v>
      </c>
      <c r="BL829" t="s">
        <v>8007</v>
      </c>
      <c r="BM829" t="s">
        <v>12521</v>
      </c>
      <c r="BN829" t="s">
        <v>74</v>
      </c>
      <c r="BO829" t="s">
        <v>534</v>
      </c>
      <c r="BP829" t="s">
        <v>74</v>
      </c>
      <c r="BQ829" t="s">
        <v>74</v>
      </c>
      <c r="BR829" t="s">
        <v>101</v>
      </c>
      <c r="BS829" t="s">
        <v>12592</v>
      </c>
      <c r="BT829" t="str">
        <f>HYPERLINK("https%3A%2F%2Fwww.webofscience.com%2Fwos%2Fwoscc%2Ffull-record%2FWOS:000231886800008","View Full Record in Web of Science")</f>
        <v>View Full Record in Web of Science</v>
      </c>
    </row>
    <row r="830" spans="1:72" x14ac:dyDescent="0.15">
      <c r="A830" t="s">
        <v>72</v>
      </c>
      <c r="B830" t="s">
        <v>12593</v>
      </c>
      <c r="C830" t="s">
        <v>74</v>
      </c>
      <c r="D830" t="s">
        <v>74</v>
      </c>
      <c r="E830" t="s">
        <v>74</v>
      </c>
      <c r="F830" t="s">
        <v>12593</v>
      </c>
      <c r="G830" t="s">
        <v>74</v>
      </c>
      <c r="H830" t="s">
        <v>74</v>
      </c>
      <c r="I830" t="s">
        <v>12594</v>
      </c>
      <c r="J830" t="s">
        <v>7990</v>
      </c>
      <c r="K830" t="s">
        <v>74</v>
      </c>
      <c r="L830" t="s">
        <v>74</v>
      </c>
      <c r="M830" t="s">
        <v>77</v>
      </c>
      <c r="N830" t="s">
        <v>78</v>
      </c>
      <c r="O830" t="s">
        <v>74</v>
      </c>
      <c r="P830" t="s">
        <v>74</v>
      </c>
      <c r="Q830" t="s">
        <v>74</v>
      </c>
      <c r="R830" t="s">
        <v>74</v>
      </c>
      <c r="S830" t="s">
        <v>74</v>
      </c>
      <c r="T830" t="s">
        <v>74</v>
      </c>
      <c r="U830" t="s">
        <v>12595</v>
      </c>
      <c r="V830" t="s">
        <v>12596</v>
      </c>
      <c r="W830" t="s">
        <v>12597</v>
      </c>
      <c r="X830" t="s">
        <v>12598</v>
      </c>
      <c r="Y830" t="s">
        <v>12599</v>
      </c>
      <c r="Z830" t="s">
        <v>12600</v>
      </c>
      <c r="AA830" t="s">
        <v>12601</v>
      </c>
      <c r="AB830" t="s">
        <v>74</v>
      </c>
      <c r="AC830" t="s">
        <v>74</v>
      </c>
      <c r="AD830" t="s">
        <v>74</v>
      </c>
      <c r="AE830" t="s">
        <v>74</v>
      </c>
      <c r="AF830" t="s">
        <v>74</v>
      </c>
      <c r="AG830">
        <v>45</v>
      </c>
      <c r="AH830">
        <v>23</v>
      </c>
      <c r="AI830">
        <v>27</v>
      </c>
      <c r="AJ830">
        <v>0</v>
      </c>
      <c r="AK830">
        <v>44</v>
      </c>
      <c r="AL830" t="s">
        <v>348</v>
      </c>
      <c r="AM830" t="s">
        <v>349</v>
      </c>
      <c r="AN830" t="s">
        <v>1523</v>
      </c>
      <c r="AO830" t="s">
        <v>8001</v>
      </c>
      <c r="AP830" t="s">
        <v>8002</v>
      </c>
      <c r="AQ830" t="s">
        <v>74</v>
      </c>
      <c r="AR830" t="s">
        <v>8003</v>
      </c>
      <c r="AS830" t="s">
        <v>8004</v>
      </c>
      <c r="AT830" t="s">
        <v>12471</v>
      </c>
      <c r="AU830">
        <v>2005</v>
      </c>
      <c r="AV830">
        <v>37</v>
      </c>
      <c r="AW830">
        <v>3</v>
      </c>
      <c r="AX830" t="s">
        <v>74</v>
      </c>
      <c r="AY830" t="s">
        <v>74</v>
      </c>
      <c r="AZ830" t="s">
        <v>74</v>
      </c>
      <c r="BA830" t="s">
        <v>74</v>
      </c>
      <c r="BB830">
        <v>337</v>
      </c>
      <c r="BC830">
        <v>347</v>
      </c>
      <c r="BD830" t="s">
        <v>74</v>
      </c>
      <c r="BE830" t="s">
        <v>12602</v>
      </c>
      <c r="BF830" t="str">
        <f>HYPERLINK("http://dx.doi.org/10.1657/1523-0430(2005)037[0337:PAEACA]2.0.CO;2","http://dx.doi.org/10.1657/1523-0430(2005)037[0337:PAEACA]2.0.CO;2")</f>
        <v>http://dx.doi.org/10.1657/1523-0430(2005)037[0337:PAEACA]2.0.CO;2</v>
      </c>
      <c r="BG830" t="s">
        <v>74</v>
      </c>
      <c r="BH830" t="s">
        <v>74</v>
      </c>
      <c r="BI830">
        <v>11</v>
      </c>
      <c r="BJ830" t="s">
        <v>8006</v>
      </c>
      <c r="BK830" t="s">
        <v>98</v>
      </c>
      <c r="BL830" t="s">
        <v>8007</v>
      </c>
      <c r="BM830" t="s">
        <v>12521</v>
      </c>
      <c r="BN830" t="s">
        <v>74</v>
      </c>
      <c r="BO830" t="s">
        <v>534</v>
      </c>
      <c r="BP830" t="s">
        <v>74</v>
      </c>
      <c r="BQ830" t="s">
        <v>74</v>
      </c>
      <c r="BR830" t="s">
        <v>101</v>
      </c>
      <c r="BS830" t="s">
        <v>12603</v>
      </c>
      <c r="BT830" t="str">
        <f>HYPERLINK("https%3A%2F%2Fwww.webofscience.com%2Fwos%2Fwoscc%2Ffull-record%2FWOS:000231886800009","View Full Record in Web of Science")</f>
        <v>View Full Record in Web of Science</v>
      </c>
    </row>
    <row r="831" spans="1:72" x14ac:dyDescent="0.15">
      <c r="A831" t="s">
        <v>72</v>
      </c>
      <c r="B831" t="s">
        <v>12604</v>
      </c>
      <c r="C831" t="s">
        <v>74</v>
      </c>
      <c r="D831" t="s">
        <v>74</v>
      </c>
      <c r="E831" t="s">
        <v>74</v>
      </c>
      <c r="F831" t="s">
        <v>12604</v>
      </c>
      <c r="G831" t="s">
        <v>74</v>
      </c>
      <c r="H831" t="s">
        <v>74</v>
      </c>
      <c r="I831" t="s">
        <v>12605</v>
      </c>
      <c r="J831" t="s">
        <v>7990</v>
      </c>
      <c r="K831" t="s">
        <v>74</v>
      </c>
      <c r="L831" t="s">
        <v>74</v>
      </c>
      <c r="M831" t="s">
        <v>77</v>
      </c>
      <c r="N831" t="s">
        <v>78</v>
      </c>
      <c r="O831" t="s">
        <v>74</v>
      </c>
      <c r="P831" t="s">
        <v>74</v>
      </c>
      <c r="Q831" t="s">
        <v>74</v>
      </c>
      <c r="R831" t="s">
        <v>74</v>
      </c>
      <c r="S831" t="s">
        <v>74</v>
      </c>
      <c r="T831" t="s">
        <v>74</v>
      </c>
      <c r="U831" t="s">
        <v>8695</v>
      </c>
      <c r="V831" t="s">
        <v>12606</v>
      </c>
      <c r="W831" t="s">
        <v>12607</v>
      </c>
      <c r="X831" t="s">
        <v>274</v>
      </c>
      <c r="Y831" t="s">
        <v>12608</v>
      </c>
      <c r="Z831" t="s">
        <v>587</v>
      </c>
      <c r="AA831" t="s">
        <v>74</v>
      </c>
      <c r="AB831" t="s">
        <v>74</v>
      </c>
      <c r="AC831" t="s">
        <v>74</v>
      </c>
      <c r="AD831" t="s">
        <v>74</v>
      </c>
      <c r="AE831" t="s">
        <v>74</v>
      </c>
      <c r="AF831" t="s">
        <v>74</v>
      </c>
      <c r="AG831">
        <v>42</v>
      </c>
      <c r="AH831">
        <v>2</v>
      </c>
      <c r="AI831">
        <v>2</v>
      </c>
      <c r="AJ831">
        <v>0</v>
      </c>
      <c r="AK831">
        <v>12</v>
      </c>
      <c r="AL831" t="s">
        <v>348</v>
      </c>
      <c r="AM831" t="s">
        <v>349</v>
      </c>
      <c r="AN831" t="s">
        <v>1523</v>
      </c>
      <c r="AO831" t="s">
        <v>8001</v>
      </c>
      <c r="AP831" t="s">
        <v>8002</v>
      </c>
      <c r="AQ831" t="s">
        <v>74</v>
      </c>
      <c r="AR831" t="s">
        <v>8003</v>
      </c>
      <c r="AS831" t="s">
        <v>8004</v>
      </c>
      <c r="AT831" t="s">
        <v>12471</v>
      </c>
      <c r="AU831">
        <v>2005</v>
      </c>
      <c r="AV831">
        <v>37</v>
      </c>
      <c r="AW831">
        <v>3</v>
      </c>
      <c r="AX831" t="s">
        <v>74</v>
      </c>
      <c r="AY831" t="s">
        <v>74</v>
      </c>
      <c r="AZ831" t="s">
        <v>74</v>
      </c>
      <c r="BA831" t="s">
        <v>74</v>
      </c>
      <c r="BB831">
        <v>348</v>
      </c>
      <c r="BC831">
        <v>357</v>
      </c>
      <c r="BD831" t="s">
        <v>74</v>
      </c>
      <c r="BE831" t="s">
        <v>12609</v>
      </c>
      <c r="BF831" t="str">
        <f>HYPERLINK("http://dx.doi.org/10.1657/1523-0430(2005)037[0348:DMASD]2.0.CO;2","http://dx.doi.org/10.1657/1523-0430(2005)037[0348:DMASD]2.0.CO;2")</f>
        <v>http://dx.doi.org/10.1657/1523-0430(2005)037[0348:DMASD]2.0.CO;2</v>
      </c>
      <c r="BG831" t="s">
        <v>74</v>
      </c>
      <c r="BH831" t="s">
        <v>74</v>
      </c>
      <c r="BI831">
        <v>10</v>
      </c>
      <c r="BJ831" t="s">
        <v>8006</v>
      </c>
      <c r="BK831" t="s">
        <v>98</v>
      </c>
      <c r="BL831" t="s">
        <v>8007</v>
      </c>
      <c r="BM831" t="s">
        <v>12521</v>
      </c>
      <c r="BN831" t="s">
        <v>74</v>
      </c>
      <c r="BO831" t="s">
        <v>534</v>
      </c>
      <c r="BP831" t="s">
        <v>74</v>
      </c>
      <c r="BQ831" t="s">
        <v>74</v>
      </c>
      <c r="BR831" t="s">
        <v>101</v>
      </c>
      <c r="BS831" t="s">
        <v>12610</v>
      </c>
      <c r="BT831" t="str">
        <f>HYPERLINK("https%3A%2F%2Fwww.webofscience.com%2Fwos%2Fwoscc%2Ffull-record%2FWOS:000231886800010","View Full Record in Web of Science")</f>
        <v>View Full Record in Web of Science</v>
      </c>
    </row>
    <row r="832" spans="1:72" x14ac:dyDescent="0.15">
      <c r="A832" t="s">
        <v>72</v>
      </c>
      <c r="B832" t="s">
        <v>12611</v>
      </c>
      <c r="C832" t="s">
        <v>74</v>
      </c>
      <c r="D832" t="s">
        <v>74</v>
      </c>
      <c r="E832" t="s">
        <v>74</v>
      </c>
      <c r="F832" t="s">
        <v>12611</v>
      </c>
      <c r="G832" t="s">
        <v>74</v>
      </c>
      <c r="H832" t="s">
        <v>74</v>
      </c>
      <c r="I832" t="s">
        <v>12612</v>
      </c>
      <c r="J832" t="s">
        <v>7990</v>
      </c>
      <c r="K832" t="s">
        <v>74</v>
      </c>
      <c r="L832" t="s">
        <v>74</v>
      </c>
      <c r="M832" t="s">
        <v>77</v>
      </c>
      <c r="N832" t="s">
        <v>78</v>
      </c>
      <c r="O832" t="s">
        <v>74</v>
      </c>
      <c r="P832" t="s">
        <v>74</v>
      </c>
      <c r="Q832" t="s">
        <v>74</v>
      </c>
      <c r="R832" t="s">
        <v>74</v>
      </c>
      <c r="S832" t="s">
        <v>74</v>
      </c>
      <c r="T832" t="s">
        <v>74</v>
      </c>
      <c r="U832" t="s">
        <v>12613</v>
      </c>
      <c r="V832" t="s">
        <v>12614</v>
      </c>
      <c r="W832" t="s">
        <v>12615</v>
      </c>
      <c r="X832" t="s">
        <v>12616</v>
      </c>
      <c r="Y832" t="s">
        <v>12617</v>
      </c>
      <c r="Z832" t="s">
        <v>12618</v>
      </c>
      <c r="AA832" t="s">
        <v>74</v>
      </c>
      <c r="AB832" t="s">
        <v>74</v>
      </c>
      <c r="AC832" t="s">
        <v>74</v>
      </c>
      <c r="AD832" t="s">
        <v>74</v>
      </c>
      <c r="AE832" t="s">
        <v>74</v>
      </c>
      <c r="AF832" t="s">
        <v>74</v>
      </c>
      <c r="AG832">
        <v>33</v>
      </c>
      <c r="AH832">
        <v>12</v>
      </c>
      <c r="AI832">
        <v>18</v>
      </c>
      <c r="AJ832">
        <v>6</v>
      </c>
      <c r="AK832">
        <v>486</v>
      </c>
      <c r="AL832" t="s">
        <v>348</v>
      </c>
      <c r="AM832" t="s">
        <v>349</v>
      </c>
      <c r="AN832" t="s">
        <v>1523</v>
      </c>
      <c r="AO832" t="s">
        <v>8001</v>
      </c>
      <c r="AP832" t="s">
        <v>8002</v>
      </c>
      <c r="AQ832" t="s">
        <v>74</v>
      </c>
      <c r="AR832" t="s">
        <v>8003</v>
      </c>
      <c r="AS832" t="s">
        <v>8004</v>
      </c>
      <c r="AT832" t="s">
        <v>12471</v>
      </c>
      <c r="AU832">
        <v>2005</v>
      </c>
      <c r="AV832">
        <v>37</v>
      </c>
      <c r="AW832">
        <v>3</v>
      </c>
      <c r="AX832" t="s">
        <v>74</v>
      </c>
      <c r="AY832" t="s">
        <v>74</v>
      </c>
      <c r="AZ832" t="s">
        <v>74</v>
      </c>
      <c r="BA832" t="s">
        <v>74</v>
      </c>
      <c r="BB832">
        <v>358</v>
      </c>
      <c r="BC832">
        <v>365</v>
      </c>
      <c r="BD832" t="s">
        <v>74</v>
      </c>
      <c r="BE832" t="s">
        <v>12619</v>
      </c>
      <c r="BF832" t="str">
        <f>HYPERLINK("http://dx.doi.org/10.1657/1523-0430(2005)037[0358:PFGIAF]2.0.CO;2","http://dx.doi.org/10.1657/1523-0430(2005)037[0358:PFGIAF]2.0.CO;2")</f>
        <v>http://dx.doi.org/10.1657/1523-0430(2005)037[0358:PFGIAF]2.0.CO;2</v>
      </c>
      <c r="BG832" t="s">
        <v>74</v>
      </c>
      <c r="BH832" t="s">
        <v>74</v>
      </c>
      <c r="BI832">
        <v>8</v>
      </c>
      <c r="BJ832" t="s">
        <v>8006</v>
      </c>
      <c r="BK832" t="s">
        <v>98</v>
      </c>
      <c r="BL832" t="s">
        <v>8007</v>
      </c>
      <c r="BM832" t="s">
        <v>12521</v>
      </c>
      <c r="BN832" t="s">
        <v>74</v>
      </c>
      <c r="BO832" t="s">
        <v>534</v>
      </c>
      <c r="BP832" t="s">
        <v>74</v>
      </c>
      <c r="BQ832" t="s">
        <v>74</v>
      </c>
      <c r="BR832" t="s">
        <v>101</v>
      </c>
      <c r="BS832" t="s">
        <v>12620</v>
      </c>
      <c r="BT832" t="str">
        <f>HYPERLINK("https%3A%2F%2Fwww.webofscience.com%2Fwos%2Fwoscc%2Ffull-record%2FWOS:000231886800011","View Full Record in Web of Science")</f>
        <v>View Full Record in Web of Science</v>
      </c>
    </row>
    <row r="833" spans="1:72" x14ac:dyDescent="0.15">
      <c r="A833" t="s">
        <v>72</v>
      </c>
      <c r="B833" t="s">
        <v>12621</v>
      </c>
      <c r="C833" t="s">
        <v>74</v>
      </c>
      <c r="D833" t="s">
        <v>74</v>
      </c>
      <c r="E833" t="s">
        <v>74</v>
      </c>
      <c r="F833" t="s">
        <v>12621</v>
      </c>
      <c r="G833" t="s">
        <v>74</v>
      </c>
      <c r="H833" t="s">
        <v>74</v>
      </c>
      <c r="I833" t="s">
        <v>12622</v>
      </c>
      <c r="J833" t="s">
        <v>7990</v>
      </c>
      <c r="K833" t="s">
        <v>74</v>
      </c>
      <c r="L833" t="s">
        <v>74</v>
      </c>
      <c r="M833" t="s">
        <v>77</v>
      </c>
      <c r="N833" t="s">
        <v>78</v>
      </c>
      <c r="O833" t="s">
        <v>74</v>
      </c>
      <c r="P833" t="s">
        <v>74</v>
      </c>
      <c r="Q833" t="s">
        <v>74</v>
      </c>
      <c r="R833" t="s">
        <v>74</v>
      </c>
      <c r="S833" t="s">
        <v>74</v>
      </c>
      <c r="T833" t="s">
        <v>74</v>
      </c>
      <c r="U833" t="s">
        <v>12623</v>
      </c>
      <c r="V833" t="s">
        <v>12624</v>
      </c>
      <c r="W833" t="s">
        <v>12625</v>
      </c>
      <c r="X833" t="s">
        <v>4354</v>
      </c>
      <c r="Y833" t="s">
        <v>12626</v>
      </c>
      <c r="Z833" t="s">
        <v>12627</v>
      </c>
      <c r="AA833" t="s">
        <v>74</v>
      </c>
      <c r="AB833" t="s">
        <v>12628</v>
      </c>
      <c r="AC833" t="s">
        <v>74</v>
      </c>
      <c r="AD833" t="s">
        <v>74</v>
      </c>
      <c r="AE833" t="s">
        <v>74</v>
      </c>
      <c r="AF833" t="s">
        <v>74</v>
      </c>
      <c r="AG833">
        <v>21</v>
      </c>
      <c r="AH833">
        <v>21</v>
      </c>
      <c r="AI833">
        <v>25</v>
      </c>
      <c r="AJ833">
        <v>0</v>
      </c>
      <c r="AK833">
        <v>17</v>
      </c>
      <c r="AL833" t="s">
        <v>7999</v>
      </c>
      <c r="AM833" t="s">
        <v>605</v>
      </c>
      <c r="AN833" t="s">
        <v>8000</v>
      </c>
      <c r="AO833" t="s">
        <v>8001</v>
      </c>
      <c r="AP833" t="s">
        <v>74</v>
      </c>
      <c r="AQ833" t="s">
        <v>74</v>
      </c>
      <c r="AR833" t="s">
        <v>8003</v>
      </c>
      <c r="AS833" t="s">
        <v>8004</v>
      </c>
      <c r="AT833" t="s">
        <v>12471</v>
      </c>
      <c r="AU833">
        <v>2005</v>
      </c>
      <c r="AV833">
        <v>37</v>
      </c>
      <c r="AW833">
        <v>3</v>
      </c>
      <c r="AX833" t="s">
        <v>74</v>
      </c>
      <c r="AY833" t="s">
        <v>74</v>
      </c>
      <c r="AZ833" t="s">
        <v>74</v>
      </c>
      <c r="BA833" t="s">
        <v>74</v>
      </c>
      <c r="BB833">
        <v>366</v>
      </c>
      <c r="BC833">
        <v>371</v>
      </c>
      <c r="BD833" t="s">
        <v>74</v>
      </c>
      <c r="BE833" t="s">
        <v>12629</v>
      </c>
      <c r="BF833" t="str">
        <f>HYPERLINK("http://dx.doi.org/10.1657/1523-0430(2005)037[0366:CISHIV]2.0.CO;2","http://dx.doi.org/10.1657/1523-0430(2005)037[0366:CISHIV]2.0.CO;2")</f>
        <v>http://dx.doi.org/10.1657/1523-0430(2005)037[0366:CISHIV]2.0.CO;2</v>
      </c>
      <c r="BG833" t="s">
        <v>74</v>
      </c>
      <c r="BH833" t="s">
        <v>74</v>
      </c>
      <c r="BI833">
        <v>6</v>
      </c>
      <c r="BJ833" t="s">
        <v>8006</v>
      </c>
      <c r="BK833" t="s">
        <v>98</v>
      </c>
      <c r="BL833" t="s">
        <v>8007</v>
      </c>
      <c r="BM833" t="s">
        <v>12521</v>
      </c>
      <c r="BN833" t="s">
        <v>74</v>
      </c>
      <c r="BO833" t="s">
        <v>534</v>
      </c>
      <c r="BP833" t="s">
        <v>74</v>
      </c>
      <c r="BQ833" t="s">
        <v>74</v>
      </c>
      <c r="BR833" t="s">
        <v>101</v>
      </c>
      <c r="BS833" t="s">
        <v>12630</v>
      </c>
      <c r="BT833" t="str">
        <f>HYPERLINK("https%3A%2F%2Fwww.webofscience.com%2Fwos%2Fwoscc%2Ffull-record%2FWOS:000231886800012","View Full Record in Web of Science")</f>
        <v>View Full Record in Web of Science</v>
      </c>
    </row>
    <row r="834" spans="1:72" x14ac:dyDescent="0.15">
      <c r="A834" t="s">
        <v>72</v>
      </c>
      <c r="B834" t="s">
        <v>12631</v>
      </c>
      <c r="C834" t="s">
        <v>74</v>
      </c>
      <c r="D834" t="s">
        <v>74</v>
      </c>
      <c r="E834" t="s">
        <v>74</v>
      </c>
      <c r="F834" t="s">
        <v>12631</v>
      </c>
      <c r="G834" t="s">
        <v>74</v>
      </c>
      <c r="H834" t="s">
        <v>74</v>
      </c>
      <c r="I834" t="s">
        <v>12632</v>
      </c>
      <c r="J834" t="s">
        <v>7990</v>
      </c>
      <c r="K834" t="s">
        <v>74</v>
      </c>
      <c r="L834" t="s">
        <v>74</v>
      </c>
      <c r="M834" t="s">
        <v>77</v>
      </c>
      <c r="N834" t="s">
        <v>78</v>
      </c>
      <c r="O834" t="s">
        <v>74</v>
      </c>
      <c r="P834" t="s">
        <v>74</v>
      </c>
      <c r="Q834" t="s">
        <v>74</v>
      </c>
      <c r="R834" t="s">
        <v>74</v>
      </c>
      <c r="S834" t="s">
        <v>74</v>
      </c>
      <c r="T834" t="s">
        <v>74</v>
      </c>
      <c r="U834" t="s">
        <v>12633</v>
      </c>
      <c r="V834" t="s">
        <v>12634</v>
      </c>
      <c r="W834" t="s">
        <v>12635</v>
      </c>
      <c r="X834" t="s">
        <v>12636</v>
      </c>
      <c r="Y834" t="s">
        <v>12637</v>
      </c>
      <c r="Z834" t="s">
        <v>12638</v>
      </c>
      <c r="AA834" t="s">
        <v>74</v>
      </c>
      <c r="AB834" t="s">
        <v>74</v>
      </c>
      <c r="AC834" t="s">
        <v>74</v>
      </c>
      <c r="AD834" t="s">
        <v>74</v>
      </c>
      <c r="AE834" t="s">
        <v>74</v>
      </c>
      <c r="AF834" t="s">
        <v>74</v>
      </c>
      <c r="AG834">
        <v>33</v>
      </c>
      <c r="AH834">
        <v>72</v>
      </c>
      <c r="AI834">
        <v>84</v>
      </c>
      <c r="AJ834">
        <v>2</v>
      </c>
      <c r="AK834">
        <v>61</v>
      </c>
      <c r="AL834" t="s">
        <v>348</v>
      </c>
      <c r="AM834" t="s">
        <v>349</v>
      </c>
      <c r="AN834" t="s">
        <v>1523</v>
      </c>
      <c r="AO834" t="s">
        <v>8001</v>
      </c>
      <c r="AP834" t="s">
        <v>8002</v>
      </c>
      <c r="AQ834" t="s">
        <v>74</v>
      </c>
      <c r="AR834" t="s">
        <v>8003</v>
      </c>
      <c r="AS834" t="s">
        <v>8004</v>
      </c>
      <c r="AT834" t="s">
        <v>12471</v>
      </c>
      <c r="AU834">
        <v>2005</v>
      </c>
      <c r="AV834">
        <v>37</v>
      </c>
      <c r="AW834">
        <v>3</v>
      </c>
      <c r="AX834" t="s">
        <v>74</v>
      </c>
      <c r="AY834" t="s">
        <v>74</v>
      </c>
      <c r="AZ834" t="s">
        <v>74</v>
      </c>
      <c r="BA834" t="s">
        <v>74</v>
      </c>
      <c r="BB834">
        <v>372</v>
      </c>
      <c r="BC834">
        <v>378</v>
      </c>
      <c r="BD834" t="s">
        <v>74</v>
      </c>
      <c r="BE834" t="s">
        <v>12639</v>
      </c>
      <c r="BF834" t="str">
        <f>HYPERLINK("http://dx.doi.org/10.1657/1523-0430(2005)037[0372:NFITHA]2.0.CO;2","http://dx.doi.org/10.1657/1523-0430(2005)037[0372:NFITHA]2.0.CO;2")</f>
        <v>http://dx.doi.org/10.1657/1523-0430(2005)037[0372:NFITHA]2.0.CO;2</v>
      </c>
      <c r="BG834" t="s">
        <v>74</v>
      </c>
      <c r="BH834" t="s">
        <v>74</v>
      </c>
      <c r="BI834">
        <v>7</v>
      </c>
      <c r="BJ834" t="s">
        <v>8006</v>
      </c>
      <c r="BK834" t="s">
        <v>98</v>
      </c>
      <c r="BL834" t="s">
        <v>8007</v>
      </c>
      <c r="BM834" t="s">
        <v>12521</v>
      </c>
      <c r="BN834" t="s">
        <v>74</v>
      </c>
      <c r="BO834" t="s">
        <v>534</v>
      </c>
      <c r="BP834" t="s">
        <v>74</v>
      </c>
      <c r="BQ834" t="s">
        <v>74</v>
      </c>
      <c r="BR834" t="s">
        <v>101</v>
      </c>
      <c r="BS834" t="s">
        <v>12640</v>
      </c>
      <c r="BT834" t="str">
        <f>HYPERLINK("https%3A%2F%2Fwww.webofscience.com%2Fwos%2Fwoscc%2Ffull-record%2FWOS:000231886800013","View Full Record in Web of Science")</f>
        <v>View Full Record in Web of Science</v>
      </c>
    </row>
    <row r="835" spans="1:72" x14ac:dyDescent="0.15">
      <c r="A835" t="s">
        <v>72</v>
      </c>
      <c r="B835" t="s">
        <v>12641</v>
      </c>
      <c r="C835" t="s">
        <v>74</v>
      </c>
      <c r="D835" t="s">
        <v>74</v>
      </c>
      <c r="E835" t="s">
        <v>74</v>
      </c>
      <c r="F835" t="s">
        <v>12641</v>
      </c>
      <c r="G835" t="s">
        <v>74</v>
      </c>
      <c r="H835" t="s">
        <v>74</v>
      </c>
      <c r="I835" t="s">
        <v>12642</v>
      </c>
      <c r="J835" t="s">
        <v>7990</v>
      </c>
      <c r="K835" t="s">
        <v>74</v>
      </c>
      <c r="L835" t="s">
        <v>74</v>
      </c>
      <c r="M835" t="s">
        <v>77</v>
      </c>
      <c r="N835" t="s">
        <v>78</v>
      </c>
      <c r="O835" t="s">
        <v>74</v>
      </c>
      <c r="P835" t="s">
        <v>74</v>
      </c>
      <c r="Q835" t="s">
        <v>74</v>
      </c>
      <c r="R835" t="s">
        <v>74</v>
      </c>
      <c r="S835" t="s">
        <v>74</v>
      </c>
      <c r="T835" t="s">
        <v>74</v>
      </c>
      <c r="U835" t="s">
        <v>12643</v>
      </c>
      <c r="V835" t="s">
        <v>12644</v>
      </c>
      <c r="W835" t="s">
        <v>12645</v>
      </c>
      <c r="X835" t="s">
        <v>12646</v>
      </c>
      <c r="Y835" t="s">
        <v>12647</v>
      </c>
      <c r="Z835" t="s">
        <v>12648</v>
      </c>
      <c r="AA835" t="s">
        <v>74</v>
      </c>
      <c r="AB835" t="s">
        <v>74</v>
      </c>
      <c r="AC835" t="s">
        <v>74</v>
      </c>
      <c r="AD835" t="s">
        <v>74</v>
      </c>
      <c r="AE835" t="s">
        <v>74</v>
      </c>
      <c r="AF835" t="s">
        <v>74</v>
      </c>
      <c r="AG835">
        <v>52</v>
      </c>
      <c r="AH835">
        <v>18</v>
      </c>
      <c r="AI835">
        <v>24</v>
      </c>
      <c r="AJ835">
        <v>0</v>
      </c>
      <c r="AK835">
        <v>22</v>
      </c>
      <c r="AL835" t="s">
        <v>7999</v>
      </c>
      <c r="AM835" t="s">
        <v>605</v>
      </c>
      <c r="AN835" t="s">
        <v>8000</v>
      </c>
      <c r="AO835" t="s">
        <v>8001</v>
      </c>
      <c r="AP835" t="s">
        <v>74</v>
      </c>
      <c r="AQ835" t="s">
        <v>74</v>
      </c>
      <c r="AR835" t="s">
        <v>8003</v>
      </c>
      <c r="AS835" t="s">
        <v>8004</v>
      </c>
      <c r="AT835" t="s">
        <v>12471</v>
      </c>
      <c r="AU835">
        <v>2005</v>
      </c>
      <c r="AV835">
        <v>37</v>
      </c>
      <c r="AW835">
        <v>3</v>
      </c>
      <c r="AX835" t="s">
        <v>74</v>
      </c>
      <c r="AY835" t="s">
        <v>74</v>
      </c>
      <c r="AZ835" t="s">
        <v>74</v>
      </c>
      <c r="BA835" t="s">
        <v>74</v>
      </c>
      <c r="BB835">
        <v>379</v>
      </c>
      <c r="BC835">
        <v>386</v>
      </c>
      <c r="BD835" t="s">
        <v>74</v>
      </c>
      <c r="BE835" t="s">
        <v>12649</v>
      </c>
      <c r="BF835" t="str">
        <f>HYPERLINK("http://dx.doi.org/10.1657/1523-0430(2005)037[0379:EOSTAN]2.0.CO;2","http://dx.doi.org/10.1657/1523-0430(2005)037[0379:EOSTAN]2.0.CO;2")</f>
        <v>http://dx.doi.org/10.1657/1523-0430(2005)037[0379:EOSTAN]2.0.CO;2</v>
      </c>
      <c r="BG835" t="s">
        <v>74</v>
      </c>
      <c r="BH835" t="s">
        <v>74</v>
      </c>
      <c r="BI835">
        <v>8</v>
      </c>
      <c r="BJ835" t="s">
        <v>8006</v>
      </c>
      <c r="BK835" t="s">
        <v>98</v>
      </c>
      <c r="BL835" t="s">
        <v>8007</v>
      </c>
      <c r="BM835" t="s">
        <v>12521</v>
      </c>
      <c r="BN835" t="s">
        <v>74</v>
      </c>
      <c r="BO835" t="s">
        <v>534</v>
      </c>
      <c r="BP835" t="s">
        <v>74</v>
      </c>
      <c r="BQ835" t="s">
        <v>74</v>
      </c>
      <c r="BR835" t="s">
        <v>101</v>
      </c>
      <c r="BS835" t="s">
        <v>12650</v>
      </c>
      <c r="BT835" t="str">
        <f>HYPERLINK("https%3A%2F%2Fwww.webofscience.com%2Fwos%2Fwoscc%2Ffull-record%2FWOS:000231886800014","View Full Record in Web of Science")</f>
        <v>View Full Record in Web of Science</v>
      </c>
    </row>
    <row r="836" spans="1:72" x14ac:dyDescent="0.15">
      <c r="A836" t="s">
        <v>72</v>
      </c>
      <c r="B836" t="s">
        <v>12651</v>
      </c>
      <c r="C836" t="s">
        <v>74</v>
      </c>
      <c r="D836" t="s">
        <v>74</v>
      </c>
      <c r="E836" t="s">
        <v>74</v>
      </c>
      <c r="F836" t="s">
        <v>12651</v>
      </c>
      <c r="G836" t="s">
        <v>74</v>
      </c>
      <c r="H836" t="s">
        <v>74</v>
      </c>
      <c r="I836" t="s">
        <v>12652</v>
      </c>
      <c r="J836" t="s">
        <v>7990</v>
      </c>
      <c r="K836" t="s">
        <v>74</v>
      </c>
      <c r="L836" t="s">
        <v>74</v>
      </c>
      <c r="M836" t="s">
        <v>77</v>
      </c>
      <c r="N836" t="s">
        <v>78</v>
      </c>
      <c r="O836" t="s">
        <v>74</v>
      </c>
      <c r="P836" t="s">
        <v>74</v>
      </c>
      <c r="Q836" t="s">
        <v>74</v>
      </c>
      <c r="R836" t="s">
        <v>74</v>
      </c>
      <c r="S836" t="s">
        <v>74</v>
      </c>
      <c r="T836" t="s">
        <v>74</v>
      </c>
      <c r="U836" t="s">
        <v>12653</v>
      </c>
      <c r="V836" t="s">
        <v>12654</v>
      </c>
      <c r="W836" t="s">
        <v>12655</v>
      </c>
      <c r="X836" t="s">
        <v>12656</v>
      </c>
      <c r="Y836" t="s">
        <v>12657</v>
      </c>
      <c r="Z836" t="s">
        <v>12658</v>
      </c>
      <c r="AA836" t="s">
        <v>12659</v>
      </c>
      <c r="AB836" t="s">
        <v>12660</v>
      </c>
      <c r="AC836" t="s">
        <v>74</v>
      </c>
      <c r="AD836" t="s">
        <v>74</v>
      </c>
      <c r="AE836" t="s">
        <v>74</v>
      </c>
      <c r="AF836" t="s">
        <v>74</v>
      </c>
      <c r="AG836">
        <v>52</v>
      </c>
      <c r="AH836">
        <v>106</v>
      </c>
      <c r="AI836">
        <v>114</v>
      </c>
      <c r="AJ836">
        <v>1</v>
      </c>
      <c r="AK836">
        <v>18</v>
      </c>
      <c r="AL836" t="s">
        <v>7999</v>
      </c>
      <c r="AM836" t="s">
        <v>605</v>
      </c>
      <c r="AN836" t="s">
        <v>8000</v>
      </c>
      <c r="AO836" t="s">
        <v>8001</v>
      </c>
      <c r="AP836" t="s">
        <v>8002</v>
      </c>
      <c r="AQ836" t="s">
        <v>74</v>
      </c>
      <c r="AR836" t="s">
        <v>8003</v>
      </c>
      <c r="AS836" t="s">
        <v>8004</v>
      </c>
      <c r="AT836" t="s">
        <v>12471</v>
      </c>
      <c r="AU836">
        <v>2005</v>
      </c>
      <c r="AV836">
        <v>37</v>
      </c>
      <c r="AW836">
        <v>3</v>
      </c>
      <c r="AX836" t="s">
        <v>74</v>
      </c>
      <c r="AY836" t="s">
        <v>74</v>
      </c>
      <c r="AZ836" t="s">
        <v>74</v>
      </c>
      <c r="BA836" t="s">
        <v>74</v>
      </c>
      <c r="BB836">
        <v>387</v>
      </c>
      <c r="BC836">
        <v>395</v>
      </c>
      <c r="BD836" t="s">
        <v>74</v>
      </c>
      <c r="BE836" t="s">
        <v>12661</v>
      </c>
      <c r="BF836" t="str">
        <f>HYPERLINK("http://dx.doi.org/10.1657/1523-0430(2005)037[0387:YODAAT]2.0.CO;2","http://dx.doi.org/10.1657/1523-0430(2005)037[0387:YODAAT]2.0.CO;2")</f>
        <v>http://dx.doi.org/10.1657/1523-0430(2005)037[0387:YODAAT]2.0.CO;2</v>
      </c>
      <c r="BG836" t="s">
        <v>74</v>
      </c>
      <c r="BH836" t="s">
        <v>74</v>
      </c>
      <c r="BI836">
        <v>9</v>
      </c>
      <c r="BJ836" t="s">
        <v>8006</v>
      </c>
      <c r="BK836" t="s">
        <v>98</v>
      </c>
      <c r="BL836" t="s">
        <v>8007</v>
      </c>
      <c r="BM836" t="s">
        <v>12521</v>
      </c>
      <c r="BN836" t="s">
        <v>74</v>
      </c>
      <c r="BO836" t="s">
        <v>3992</v>
      </c>
      <c r="BP836" t="s">
        <v>74</v>
      </c>
      <c r="BQ836" t="s">
        <v>74</v>
      </c>
      <c r="BR836" t="s">
        <v>101</v>
      </c>
      <c r="BS836" t="s">
        <v>12662</v>
      </c>
      <c r="BT836" t="str">
        <f>HYPERLINK("https%3A%2F%2Fwww.webofscience.com%2Fwos%2Fwoscc%2Ffull-record%2FWOS:000231886800015","View Full Record in Web of Science")</f>
        <v>View Full Record in Web of Science</v>
      </c>
    </row>
    <row r="837" spans="1:72" x14ac:dyDescent="0.15">
      <c r="A837" t="s">
        <v>72</v>
      </c>
      <c r="B837" t="s">
        <v>12663</v>
      </c>
      <c r="C837" t="s">
        <v>74</v>
      </c>
      <c r="D837" t="s">
        <v>74</v>
      </c>
      <c r="E837" t="s">
        <v>74</v>
      </c>
      <c r="F837" t="s">
        <v>12663</v>
      </c>
      <c r="G837" t="s">
        <v>74</v>
      </c>
      <c r="H837" t="s">
        <v>74</v>
      </c>
      <c r="I837" t="s">
        <v>12664</v>
      </c>
      <c r="J837" t="s">
        <v>7990</v>
      </c>
      <c r="K837" t="s">
        <v>74</v>
      </c>
      <c r="L837" t="s">
        <v>74</v>
      </c>
      <c r="M837" t="s">
        <v>77</v>
      </c>
      <c r="N837" t="s">
        <v>78</v>
      </c>
      <c r="O837" t="s">
        <v>74</v>
      </c>
      <c r="P837" t="s">
        <v>74</v>
      </c>
      <c r="Q837" t="s">
        <v>74</v>
      </c>
      <c r="R837" t="s">
        <v>74</v>
      </c>
      <c r="S837" t="s">
        <v>74</v>
      </c>
      <c r="T837" t="s">
        <v>74</v>
      </c>
      <c r="U837" t="s">
        <v>12665</v>
      </c>
      <c r="V837" t="s">
        <v>12666</v>
      </c>
      <c r="W837" t="s">
        <v>12667</v>
      </c>
      <c r="X837" t="s">
        <v>12668</v>
      </c>
      <c r="Y837" t="s">
        <v>12669</v>
      </c>
      <c r="Z837" t="s">
        <v>12670</v>
      </c>
      <c r="AA837" t="s">
        <v>12671</v>
      </c>
      <c r="AB837" t="s">
        <v>12672</v>
      </c>
      <c r="AC837" t="s">
        <v>74</v>
      </c>
      <c r="AD837" t="s">
        <v>74</v>
      </c>
      <c r="AE837" t="s">
        <v>74</v>
      </c>
      <c r="AF837" t="s">
        <v>74</v>
      </c>
      <c r="AG837">
        <v>33</v>
      </c>
      <c r="AH837">
        <v>26</v>
      </c>
      <c r="AI837">
        <v>31</v>
      </c>
      <c r="AJ837">
        <v>1</v>
      </c>
      <c r="AK837">
        <v>43</v>
      </c>
      <c r="AL837" t="s">
        <v>348</v>
      </c>
      <c r="AM837" t="s">
        <v>349</v>
      </c>
      <c r="AN837" t="s">
        <v>1523</v>
      </c>
      <c r="AO837" t="s">
        <v>8001</v>
      </c>
      <c r="AP837" t="s">
        <v>8002</v>
      </c>
      <c r="AQ837" t="s">
        <v>74</v>
      </c>
      <c r="AR837" t="s">
        <v>8003</v>
      </c>
      <c r="AS837" t="s">
        <v>8004</v>
      </c>
      <c r="AT837" t="s">
        <v>12471</v>
      </c>
      <c r="AU837">
        <v>2005</v>
      </c>
      <c r="AV837">
        <v>37</v>
      </c>
      <c r="AW837">
        <v>3</v>
      </c>
      <c r="AX837" t="s">
        <v>74</v>
      </c>
      <c r="AY837" t="s">
        <v>74</v>
      </c>
      <c r="AZ837" t="s">
        <v>74</v>
      </c>
      <c r="BA837" t="s">
        <v>74</v>
      </c>
      <c r="BB837">
        <v>396</v>
      </c>
      <c r="BC837">
        <v>401</v>
      </c>
      <c r="BD837" t="s">
        <v>74</v>
      </c>
      <c r="BE837" t="s">
        <v>12673</v>
      </c>
      <c r="BF837" t="str">
        <f>HYPERLINK("http://dx.doi.org/10.1657/1523-0430(2005)037[0396:CRONIA]2.0.CO;2","http://dx.doi.org/10.1657/1523-0430(2005)037[0396:CRONIA]2.0.CO;2")</f>
        <v>http://dx.doi.org/10.1657/1523-0430(2005)037[0396:CRONIA]2.0.CO;2</v>
      </c>
      <c r="BG837" t="s">
        <v>74</v>
      </c>
      <c r="BH837" t="s">
        <v>74</v>
      </c>
      <c r="BI837">
        <v>6</v>
      </c>
      <c r="BJ837" t="s">
        <v>8006</v>
      </c>
      <c r="BK837" t="s">
        <v>98</v>
      </c>
      <c r="BL837" t="s">
        <v>8007</v>
      </c>
      <c r="BM837" t="s">
        <v>12521</v>
      </c>
      <c r="BN837" t="s">
        <v>74</v>
      </c>
      <c r="BO837" t="s">
        <v>534</v>
      </c>
      <c r="BP837" t="s">
        <v>74</v>
      </c>
      <c r="BQ837" t="s">
        <v>74</v>
      </c>
      <c r="BR837" t="s">
        <v>101</v>
      </c>
      <c r="BS837" t="s">
        <v>12674</v>
      </c>
      <c r="BT837" t="str">
        <f>HYPERLINK("https%3A%2F%2Fwww.webofscience.com%2Fwos%2Fwoscc%2Ffull-record%2FWOS:000231886800016","View Full Record in Web of Science")</f>
        <v>View Full Record in Web of Science</v>
      </c>
    </row>
    <row r="838" spans="1:72" x14ac:dyDescent="0.15">
      <c r="A838" t="s">
        <v>72</v>
      </c>
      <c r="B838" t="s">
        <v>12675</v>
      </c>
      <c r="C838" t="s">
        <v>74</v>
      </c>
      <c r="D838" t="s">
        <v>74</v>
      </c>
      <c r="E838" t="s">
        <v>74</v>
      </c>
      <c r="F838" t="s">
        <v>12675</v>
      </c>
      <c r="G838" t="s">
        <v>74</v>
      </c>
      <c r="H838" t="s">
        <v>74</v>
      </c>
      <c r="I838" t="s">
        <v>12676</v>
      </c>
      <c r="J838" t="s">
        <v>7990</v>
      </c>
      <c r="K838" t="s">
        <v>74</v>
      </c>
      <c r="L838" t="s">
        <v>74</v>
      </c>
      <c r="M838" t="s">
        <v>77</v>
      </c>
      <c r="N838" t="s">
        <v>78</v>
      </c>
      <c r="O838" t="s">
        <v>74</v>
      </c>
      <c r="P838" t="s">
        <v>74</v>
      </c>
      <c r="Q838" t="s">
        <v>74</v>
      </c>
      <c r="R838" t="s">
        <v>74</v>
      </c>
      <c r="S838" t="s">
        <v>74</v>
      </c>
      <c r="T838" t="s">
        <v>74</v>
      </c>
      <c r="U838" t="s">
        <v>12677</v>
      </c>
      <c r="V838" t="s">
        <v>12678</v>
      </c>
      <c r="W838" t="s">
        <v>12679</v>
      </c>
      <c r="X838" t="s">
        <v>12680</v>
      </c>
      <c r="Y838" t="s">
        <v>12681</v>
      </c>
      <c r="Z838" t="s">
        <v>12682</v>
      </c>
      <c r="AA838" t="s">
        <v>12683</v>
      </c>
      <c r="AB838" t="s">
        <v>12684</v>
      </c>
      <c r="AC838" t="s">
        <v>74</v>
      </c>
      <c r="AD838" t="s">
        <v>74</v>
      </c>
      <c r="AE838" t="s">
        <v>74</v>
      </c>
      <c r="AF838" t="s">
        <v>74</v>
      </c>
      <c r="AG838">
        <v>34</v>
      </c>
      <c r="AH838">
        <v>30</v>
      </c>
      <c r="AI838">
        <v>31</v>
      </c>
      <c r="AJ838">
        <v>0</v>
      </c>
      <c r="AK838">
        <v>5</v>
      </c>
      <c r="AL838" t="s">
        <v>348</v>
      </c>
      <c r="AM838" t="s">
        <v>349</v>
      </c>
      <c r="AN838" t="s">
        <v>1523</v>
      </c>
      <c r="AO838" t="s">
        <v>8001</v>
      </c>
      <c r="AP838" t="s">
        <v>8002</v>
      </c>
      <c r="AQ838" t="s">
        <v>74</v>
      </c>
      <c r="AR838" t="s">
        <v>8003</v>
      </c>
      <c r="AS838" t="s">
        <v>8004</v>
      </c>
      <c r="AT838" t="s">
        <v>12471</v>
      </c>
      <c r="AU838">
        <v>2005</v>
      </c>
      <c r="AV838">
        <v>37</v>
      </c>
      <c r="AW838">
        <v>3</v>
      </c>
      <c r="AX838" t="s">
        <v>74</v>
      </c>
      <c r="AY838" t="s">
        <v>74</v>
      </c>
      <c r="AZ838" t="s">
        <v>74</v>
      </c>
      <c r="BA838" t="s">
        <v>74</v>
      </c>
      <c r="BB838">
        <v>402</v>
      </c>
      <c r="BC838">
        <v>408</v>
      </c>
      <c r="BD838" t="s">
        <v>74</v>
      </c>
      <c r="BE838" t="s">
        <v>12685</v>
      </c>
      <c r="BF838" t="str">
        <f>HYPERLINK("http://dx.doi.org/10.1657/1523-0430(2005)037[0402:TRMRGA]2.0.CO;2","http://dx.doi.org/10.1657/1523-0430(2005)037[0402:TRMRGA]2.0.CO;2")</f>
        <v>http://dx.doi.org/10.1657/1523-0430(2005)037[0402:TRMRGA]2.0.CO;2</v>
      </c>
      <c r="BG838" t="s">
        <v>74</v>
      </c>
      <c r="BH838" t="s">
        <v>74</v>
      </c>
      <c r="BI838">
        <v>7</v>
      </c>
      <c r="BJ838" t="s">
        <v>8006</v>
      </c>
      <c r="BK838" t="s">
        <v>98</v>
      </c>
      <c r="BL838" t="s">
        <v>8007</v>
      </c>
      <c r="BM838" t="s">
        <v>12521</v>
      </c>
      <c r="BN838" t="s">
        <v>74</v>
      </c>
      <c r="BO838" t="s">
        <v>2276</v>
      </c>
      <c r="BP838" t="s">
        <v>74</v>
      </c>
      <c r="BQ838" t="s">
        <v>74</v>
      </c>
      <c r="BR838" t="s">
        <v>101</v>
      </c>
      <c r="BS838" t="s">
        <v>12686</v>
      </c>
      <c r="BT838" t="str">
        <f>HYPERLINK("https%3A%2F%2Fwww.webofscience.com%2Fwos%2Fwoscc%2Ffull-record%2FWOS:000231886800017","View Full Record in Web of Science")</f>
        <v>View Full Record in Web of Science</v>
      </c>
    </row>
    <row r="839" spans="1:72" x14ac:dyDescent="0.15">
      <c r="A839" t="s">
        <v>72</v>
      </c>
      <c r="B839" t="s">
        <v>12687</v>
      </c>
      <c r="C839" t="s">
        <v>74</v>
      </c>
      <c r="D839" t="s">
        <v>74</v>
      </c>
      <c r="E839" t="s">
        <v>74</v>
      </c>
      <c r="F839" t="s">
        <v>12687</v>
      </c>
      <c r="G839" t="s">
        <v>74</v>
      </c>
      <c r="H839" t="s">
        <v>74</v>
      </c>
      <c r="I839" t="s">
        <v>12688</v>
      </c>
      <c r="J839" t="s">
        <v>7990</v>
      </c>
      <c r="K839" t="s">
        <v>74</v>
      </c>
      <c r="L839" t="s">
        <v>74</v>
      </c>
      <c r="M839" t="s">
        <v>77</v>
      </c>
      <c r="N839" t="s">
        <v>3466</v>
      </c>
      <c r="O839" t="s">
        <v>74</v>
      </c>
      <c r="P839" t="s">
        <v>74</v>
      </c>
      <c r="Q839" t="s">
        <v>74</v>
      </c>
      <c r="R839" t="s">
        <v>74</v>
      </c>
      <c r="S839" t="s">
        <v>74</v>
      </c>
      <c r="T839" t="s">
        <v>74</v>
      </c>
      <c r="U839" t="s">
        <v>74</v>
      </c>
      <c r="V839" t="s">
        <v>74</v>
      </c>
      <c r="W839" t="s">
        <v>74</v>
      </c>
      <c r="X839" t="s">
        <v>74</v>
      </c>
      <c r="Y839" t="s">
        <v>74</v>
      </c>
      <c r="Z839" t="s">
        <v>74</v>
      </c>
      <c r="AA839" t="s">
        <v>12689</v>
      </c>
      <c r="AB839" t="s">
        <v>12690</v>
      </c>
      <c r="AC839" t="s">
        <v>74</v>
      </c>
      <c r="AD839" t="s">
        <v>74</v>
      </c>
      <c r="AE839" t="s">
        <v>74</v>
      </c>
      <c r="AF839" t="s">
        <v>74</v>
      </c>
      <c r="AG839">
        <v>1</v>
      </c>
      <c r="AH839">
        <v>0</v>
      </c>
      <c r="AI839">
        <v>0</v>
      </c>
      <c r="AJ839">
        <v>0</v>
      </c>
      <c r="AK839">
        <v>6</v>
      </c>
      <c r="AL839" t="s">
        <v>348</v>
      </c>
      <c r="AM839" t="s">
        <v>349</v>
      </c>
      <c r="AN839" t="s">
        <v>1523</v>
      </c>
      <c r="AO839" t="s">
        <v>8001</v>
      </c>
      <c r="AP839" t="s">
        <v>8002</v>
      </c>
      <c r="AQ839" t="s">
        <v>74</v>
      </c>
      <c r="AR839" t="s">
        <v>8003</v>
      </c>
      <c r="AS839" t="s">
        <v>8004</v>
      </c>
      <c r="AT839" t="s">
        <v>12471</v>
      </c>
      <c r="AU839">
        <v>2005</v>
      </c>
      <c r="AV839">
        <v>37</v>
      </c>
      <c r="AW839">
        <v>3</v>
      </c>
      <c r="AX839" t="s">
        <v>74</v>
      </c>
      <c r="AY839" t="s">
        <v>74</v>
      </c>
      <c r="AZ839" t="s">
        <v>74</v>
      </c>
      <c r="BA839" t="s">
        <v>74</v>
      </c>
      <c r="BB839">
        <v>409</v>
      </c>
      <c r="BC839">
        <v>409</v>
      </c>
      <c r="BD839" t="s">
        <v>74</v>
      </c>
      <c r="BE839" t="s">
        <v>74</v>
      </c>
      <c r="BF839" t="s">
        <v>74</v>
      </c>
      <c r="BG839" t="s">
        <v>74</v>
      </c>
      <c r="BH839" t="s">
        <v>74</v>
      </c>
      <c r="BI839">
        <v>1</v>
      </c>
      <c r="BJ839" t="s">
        <v>8006</v>
      </c>
      <c r="BK839" t="s">
        <v>98</v>
      </c>
      <c r="BL839" t="s">
        <v>8007</v>
      </c>
      <c r="BM839" t="s">
        <v>12521</v>
      </c>
      <c r="BN839" t="s">
        <v>74</v>
      </c>
      <c r="BO839" t="s">
        <v>74</v>
      </c>
      <c r="BP839" t="s">
        <v>74</v>
      </c>
      <c r="BQ839" t="s">
        <v>74</v>
      </c>
      <c r="BR839" t="s">
        <v>101</v>
      </c>
      <c r="BS839" t="s">
        <v>12691</v>
      </c>
      <c r="BT839" t="str">
        <f>HYPERLINK("https%3A%2F%2Fwww.webofscience.com%2Fwos%2Fwoscc%2Ffull-record%2FWOS:000231886800018","View Full Record in Web of Science")</f>
        <v>View Full Record in Web of Science</v>
      </c>
    </row>
    <row r="840" spans="1:72" x14ac:dyDescent="0.15">
      <c r="A840" t="s">
        <v>72</v>
      </c>
      <c r="B840" t="s">
        <v>12692</v>
      </c>
      <c r="C840" t="s">
        <v>74</v>
      </c>
      <c r="D840" t="s">
        <v>74</v>
      </c>
      <c r="E840" t="s">
        <v>74</v>
      </c>
      <c r="F840" t="s">
        <v>12692</v>
      </c>
      <c r="G840" t="s">
        <v>74</v>
      </c>
      <c r="H840" t="s">
        <v>74</v>
      </c>
      <c r="I840" t="s">
        <v>12693</v>
      </c>
      <c r="J840" t="s">
        <v>5907</v>
      </c>
      <c r="K840" t="s">
        <v>74</v>
      </c>
      <c r="L840" t="s">
        <v>74</v>
      </c>
      <c r="M840" t="s">
        <v>77</v>
      </c>
      <c r="N840" t="s">
        <v>78</v>
      </c>
      <c r="O840" t="s">
        <v>74</v>
      </c>
      <c r="P840" t="s">
        <v>74</v>
      </c>
      <c r="Q840" t="s">
        <v>74</v>
      </c>
      <c r="R840" t="s">
        <v>74</v>
      </c>
      <c r="S840" t="s">
        <v>74</v>
      </c>
      <c r="T840" t="s">
        <v>74</v>
      </c>
      <c r="U840" t="s">
        <v>12694</v>
      </c>
      <c r="V840" t="s">
        <v>74</v>
      </c>
      <c r="W840" t="s">
        <v>4482</v>
      </c>
      <c r="X840" t="s">
        <v>788</v>
      </c>
      <c r="Y840" t="s">
        <v>12695</v>
      </c>
      <c r="Z840" t="s">
        <v>74</v>
      </c>
      <c r="AA840" t="s">
        <v>74</v>
      </c>
      <c r="AB840" t="s">
        <v>74</v>
      </c>
      <c r="AC840" t="s">
        <v>74</v>
      </c>
      <c r="AD840" t="s">
        <v>74</v>
      </c>
      <c r="AE840" t="s">
        <v>74</v>
      </c>
      <c r="AF840" t="s">
        <v>74</v>
      </c>
      <c r="AG840">
        <v>6</v>
      </c>
      <c r="AH840">
        <v>1</v>
      </c>
      <c r="AI840">
        <v>1</v>
      </c>
      <c r="AJ840">
        <v>0</v>
      </c>
      <c r="AK840">
        <v>1</v>
      </c>
      <c r="AL840" t="s">
        <v>5928</v>
      </c>
      <c r="AM840" t="s">
        <v>12696</v>
      </c>
      <c r="AN840" t="s">
        <v>12697</v>
      </c>
      <c r="AO840" t="s">
        <v>5912</v>
      </c>
      <c r="AP840" t="s">
        <v>74</v>
      </c>
      <c r="AQ840" t="s">
        <v>74</v>
      </c>
      <c r="AR840" t="s">
        <v>5913</v>
      </c>
      <c r="AS840" t="s">
        <v>5914</v>
      </c>
      <c r="AT840" t="s">
        <v>12471</v>
      </c>
      <c r="AU840">
        <v>2005</v>
      </c>
      <c r="AV840">
        <v>46</v>
      </c>
      <c r="AW840">
        <v>4</v>
      </c>
      <c r="AX840" t="s">
        <v>74</v>
      </c>
      <c r="AY840" t="s">
        <v>74</v>
      </c>
      <c r="AZ840" t="s">
        <v>74</v>
      </c>
      <c r="BA840" t="s">
        <v>74</v>
      </c>
      <c r="BB840">
        <v>23</v>
      </c>
      <c r="BC840">
        <v>23</v>
      </c>
      <c r="BD840" t="s">
        <v>74</v>
      </c>
      <c r="BE840" t="s">
        <v>12698</v>
      </c>
      <c r="BF840" t="str">
        <f>HYPERLINK("http://dx.doi.org/10.1111/j.1468-4004.2005.46423.x","http://dx.doi.org/10.1111/j.1468-4004.2005.46423.x")</f>
        <v>http://dx.doi.org/10.1111/j.1468-4004.2005.46423.x</v>
      </c>
      <c r="BG840" t="s">
        <v>74</v>
      </c>
      <c r="BH840" t="s">
        <v>74</v>
      </c>
      <c r="BI840">
        <v>1</v>
      </c>
      <c r="BJ840" t="s">
        <v>5916</v>
      </c>
      <c r="BK840" t="s">
        <v>98</v>
      </c>
      <c r="BL840" t="s">
        <v>5916</v>
      </c>
      <c r="BM840" t="s">
        <v>12699</v>
      </c>
      <c r="BN840" t="s">
        <v>74</v>
      </c>
      <c r="BO840" t="s">
        <v>74</v>
      </c>
      <c r="BP840" t="s">
        <v>74</v>
      </c>
      <c r="BQ840" t="s">
        <v>74</v>
      </c>
      <c r="BR840" t="s">
        <v>101</v>
      </c>
      <c r="BS840" t="s">
        <v>12700</v>
      </c>
      <c r="BT840" t="str">
        <f>HYPERLINK("https%3A%2F%2Fwww.webofscience.com%2Fwos%2Fwoscc%2Ffull-record%2FWOS:000231063400014","View Full Record in Web of Science")</f>
        <v>View Full Record in Web of Science</v>
      </c>
    </row>
    <row r="841" spans="1:72" x14ac:dyDescent="0.15">
      <c r="A841" t="s">
        <v>72</v>
      </c>
      <c r="B841" t="s">
        <v>12701</v>
      </c>
      <c r="C841" t="s">
        <v>74</v>
      </c>
      <c r="D841" t="s">
        <v>74</v>
      </c>
      <c r="E841" t="s">
        <v>74</v>
      </c>
      <c r="F841" t="s">
        <v>12701</v>
      </c>
      <c r="G841" t="s">
        <v>74</v>
      </c>
      <c r="H841" t="s">
        <v>74</v>
      </c>
      <c r="I841" t="s">
        <v>12702</v>
      </c>
      <c r="J841" t="s">
        <v>152</v>
      </c>
      <c r="K841" t="s">
        <v>74</v>
      </c>
      <c r="L841" t="s">
        <v>74</v>
      </c>
      <c r="M841" t="s">
        <v>77</v>
      </c>
      <c r="N841" t="s">
        <v>78</v>
      </c>
      <c r="O841" t="s">
        <v>74</v>
      </c>
      <c r="P841" t="s">
        <v>74</v>
      </c>
      <c r="Q841" t="s">
        <v>74</v>
      </c>
      <c r="R841" t="s">
        <v>74</v>
      </c>
      <c r="S841" t="s">
        <v>74</v>
      </c>
      <c r="T841" t="s">
        <v>12703</v>
      </c>
      <c r="U841" t="s">
        <v>12704</v>
      </c>
      <c r="V841" t="s">
        <v>12705</v>
      </c>
      <c r="W841" t="s">
        <v>12706</v>
      </c>
      <c r="X841" t="s">
        <v>12707</v>
      </c>
      <c r="Y841" t="s">
        <v>12708</v>
      </c>
      <c r="Z841" t="s">
        <v>159</v>
      </c>
      <c r="AA841" t="s">
        <v>160</v>
      </c>
      <c r="AB841" t="s">
        <v>161</v>
      </c>
      <c r="AC841" t="s">
        <v>74</v>
      </c>
      <c r="AD841" t="s">
        <v>74</v>
      </c>
      <c r="AE841" t="s">
        <v>74</v>
      </c>
      <c r="AF841" t="s">
        <v>74</v>
      </c>
      <c r="AG841">
        <v>9</v>
      </c>
      <c r="AH841">
        <v>32</v>
      </c>
      <c r="AI841">
        <v>40</v>
      </c>
      <c r="AJ841">
        <v>0</v>
      </c>
      <c r="AK841">
        <v>15</v>
      </c>
      <c r="AL841" t="s">
        <v>88</v>
      </c>
      <c r="AM841" t="s">
        <v>162</v>
      </c>
      <c r="AN841" t="s">
        <v>163</v>
      </c>
      <c r="AO841" t="s">
        <v>164</v>
      </c>
      <c r="AP841" t="s">
        <v>165</v>
      </c>
      <c r="AQ841" t="s">
        <v>74</v>
      </c>
      <c r="AR841" t="s">
        <v>166</v>
      </c>
      <c r="AS841" t="s">
        <v>167</v>
      </c>
      <c r="AT841" t="s">
        <v>12471</v>
      </c>
      <c r="AU841">
        <v>2005</v>
      </c>
      <c r="AV841">
        <v>27</v>
      </c>
      <c r="AW841">
        <v>16</v>
      </c>
      <c r="AX841" t="s">
        <v>74</v>
      </c>
      <c r="AY841" t="s">
        <v>74</v>
      </c>
      <c r="AZ841" t="s">
        <v>74</v>
      </c>
      <c r="BA841" t="s">
        <v>74</v>
      </c>
      <c r="BB841">
        <v>1195</v>
      </c>
      <c r="BC841">
        <v>1198</v>
      </c>
      <c r="BD841" t="s">
        <v>74</v>
      </c>
      <c r="BE841" t="s">
        <v>12709</v>
      </c>
      <c r="BF841" t="str">
        <f>HYPERLINK("http://dx.doi.org/10.1007/s10529-005-0016-x","http://dx.doi.org/10.1007/s10529-005-0016-x")</f>
        <v>http://dx.doi.org/10.1007/s10529-005-0016-x</v>
      </c>
      <c r="BG841" t="s">
        <v>74</v>
      </c>
      <c r="BH841" t="s">
        <v>74</v>
      </c>
      <c r="BI841">
        <v>4</v>
      </c>
      <c r="BJ841" t="s">
        <v>169</v>
      </c>
      <c r="BK841" t="s">
        <v>98</v>
      </c>
      <c r="BL841" t="s">
        <v>169</v>
      </c>
      <c r="BM841" t="s">
        <v>12710</v>
      </c>
      <c r="BN841">
        <v>16158263</v>
      </c>
      <c r="BO841" t="s">
        <v>74</v>
      </c>
      <c r="BP841" t="s">
        <v>74</v>
      </c>
      <c r="BQ841" t="s">
        <v>74</v>
      </c>
      <c r="BR841" t="s">
        <v>101</v>
      </c>
      <c r="BS841" t="s">
        <v>12711</v>
      </c>
      <c r="BT841" t="str">
        <f>HYPERLINK("https%3A%2F%2Fwww.webofscience.com%2Fwos%2Fwoscc%2Ffull-record%2FWOS:000231856500008","View Full Record in Web of Science")</f>
        <v>View Full Record in Web of Science</v>
      </c>
    </row>
    <row r="842" spans="1:72" x14ac:dyDescent="0.15">
      <c r="A842" t="s">
        <v>72</v>
      </c>
      <c r="B842" t="s">
        <v>12712</v>
      </c>
      <c r="C842" t="s">
        <v>74</v>
      </c>
      <c r="D842" t="s">
        <v>74</v>
      </c>
      <c r="E842" t="s">
        <v>74</v>
      </c>
      <c r="F842" t="s">
        <v>12712</v>
      </c>
      <c r="G842" t="s">
        <v>74</v>
      </c>
      <c r="H842" t="s">
        <v>74</v>
      </c>
      <c r="I842" t="s">
        <v>12713</v>
      </c>
      <c r="J842" t="s">
        <v>12714</v>
      </c>
      <c r="K842" t="s">
        <v>74</v>
      </c>
      <c r="L842" t="s">
        <v>74</v>
      </c>
      <c r="M842" t="s">
        <v>77</v>
      </c>
      <c r="N842" t="s">
        <v>78</v>
      </c>
      <c r="O842" t="s">
        <v>74</v>
      </c>
      <c r="P842" t="s">
        <v>74</v>
      </c>
      <c r="Q842" t="s">
        <v>74</v>
      </c>
      <c r="R842" t="s">
        <v>74</v>
      </c>
      <c r="S842" t="s">
        <v>74</v>
      </c>
      <c r="T842" t="s">
        <v>74</v>
      </c>
      <c r="U842" t="s">
        <v>12715</v>
      </c>
      <c r="V842" t="s">
        <v>12716</v>
      </c>
      <c r="W842" t="s">
        <v>12717</v>
      </c>
      <c r="X842" t="s">
        <v>12718</v>
      </c>
      <c r="Y842" t="s">
        <v>12719</v>
      </c>
      <c r="Z842" t="s">
        <v>12720</v>
      </c>
      <c r="AA842" t="s">
        <v>12231</v>
      </c>
      <c r="AB842" t="s">
        <v>74</v>
      </c>
      <c r="AC842" t="s">
        <v>74</v>
      </c>
      <c r="AD842" t="s">
        <v>74</v>
      </c>
      <c r="AE842" t="s">
        <v>74</v>
      </c>
      <c r="AF842" t="s">
        <v>74</v>
      </c>
      <c r="AG842">
        <v>58</v>
      </c>
      <c r="AH842">
        <v>5</v>
      </c>
      <c r="AI842">
        <v>5</v>
      </c>
      <c r="AJ842">
        <v>0</v>
      </c>
      <c r="AK842">
        <v>3</v>
      </c>
      <c r="AL842" t="s">
        <v>2025</v>
      </c>
      <c r="AM842" t="s">
        <v>2026</v>
      </c>
      <c r="AN842" t="s">
        <v>2027</v>
      </c>
      <c r="AO842" t="s">
        <v>12721</v>
      </c>
      <c r="AP842" t="s">
        <v>12722</v>
      </c>
      <c r="AQ842" t="s">
        <v>74</v>
      </c>
      <c r="AR842" t="s">
        <v>12714</v>
      </c>
      <c r="AS842" t="s">
        <v>12723</v>
      </c>
      <c r="AT842" t="s">
        <v>12471</v>
      </c>
      <c r="AU842">
        <v>2005</v>
      </c>
      <c r="AV842">
        <v>34</v>
      </c>
      <c r="AW842">
        <v>3</v>
      </c>
      <c r="AX842" t="s">
        <v>74</v>
      </c>
      <c r="AY842" t="s">
        <v>74</v>
      </c>
      <c r="AZ842" t="s">
        <v>74</v>
      </c>
      <c r="BA842" t="s">
        <v>74</v>
      </c>
      <c r="BB842">
        <v>252</v>
      </c>
      <c r="BC842">
        <v>263</v>
      </c>
      <c r="BD842" t="s">
        <v>74</v>
      </c>
      <c r="BE842" t="s">
        <v>12724</v>
      </c>
      <c r="BF842" t="str">
        <f>HYPERLINK("http://dx.doi.org/10.1080/03009480510013015","http://dx.doi.org/10.1080/03009480510013015")</f>
        <v>http://dx.doi.org/10.1080/03009480510013015</v>
      </c>
      <c r="BG842" t="s">
        <v>74</v>
      </c>
      <c r="BH842" t="s">
        <v>74</v>
      </c>
      <c r="BI842">
        <v>12</v>
      </c>
      <c r="BJ842" t="s">
        <v>2246</v>
      </c>
      <c r="BK842" t="s">
        <v>98</v>
      </c>
      <c r="BL842" t="s">
        <v>1531</v>
      </c>
      <c r="BM842" t="s">
        <v>12725</v>
      </c>
      <c r="BN842" t="s">
        <v>74</v>
      </c>
      <c r="BO842" t="s">
        <v>74</v>
      </c>
      <c r="BP842" t="s">
        <v>74</v>
      </c>
      <c r="BQ842" t="s">
        <v>74</v>
      </c>
      <c r="BR842" t="s">
        <v>101</v>
      </c>
      <c r="BS842" t="s">
        <v>12726</v>
      </c>
      <c r="BT842" t="str">
        <f>HYPERLINK("https%3A%2F%2Fwww.webofscience.com%2Fwos%2Fwoscc%2Ffull-record%2FWOS:000230505400002","View Full Record in Web of Science")</f>
        <v>View Full Record in Web of Science</v>
      </c>
    </row>
    <row r="843" spans="1:72" x14ac:dyDescent="0.15">
      <c r="A843" t="s">
        <v>72</v>
      </c>
      <c r="B843" t="s">
        <v>12727</v>
      </c>
      <c r="C843" t="s">
        <v>74</v>
      </c>
      <c r="D843" t="s">
        <v>74</v>
      </c>
      <c r="E843" t="s">
        <v>74</v>
      </c>
      <c r="F843" t="s">
        <v>12727</v>
      </c>
      <c r="G843" t="s">
        <v>74</v>
      </c>
      <c r="H843" t="s">
        <v>74</v>
      </c>
      <c r="I843" t="s">
        <v>12728</v>
      </c>
      <c r="J843" t="s">
        <v>12729</v>
      </c>
      <c r="K843" t="s">
        <v>74</v>
      </c>
      <c r="L843" t="s">
        <v>74</v>
      </c>
      <c r="M843" t="s">
        <v>77</v>
      </c>
      <c r="N843" t="s">
        <v>78</v>
      </c>
      <c r="O843" t="s">
        <v>74</v>
      </c>
      <c r="P843" t="s">
        <v>74</v>
      </c>
      <c r="Q843" t="s">
        <v>74</v>
      </c>
      <c r="R843" t="s">
        <v>74</v>
      </c>
      <c r="S843" t="s">
        <v>74</v>
      </c>
      <c r="T843" t="s">
        <v>74</v>
      </c>
      <c r="U843" t="s">
        <v>12730</v>
      </c>
      <c r="V843" t="s">
        <v>12731</v>
      </c>
      <c r="W843" t="s">
        <v>12732</v>
      </c>
      <c r="X843" t="s">
        <v>12733</v>
      </c>
      <c r="Y843" t="s">
        <v>12734</v>
      </c>
      <c r="Z843" t="s">
        <v>12735</v>
      </c>
      <c r="AA843" t="s">
        <v>74</v>
      </c>
      <c r="AB843" t="s">
        <v>74</v>
      </c>
      <c r="AC843" t="s">
        <v>74</v>
      </c>
      <c r="AD843" t="s">
        <v>74</v>
      </c>
      <c r="AE843" t="s">
        <v>74</v>
      </c>
      <c r="AF843" t="s">
        <v>74</v>
      </c>
      <c r="AG843">
        <v>53</v>
      </c>
      <c r="AH843">
        <v>12</v>
      </c>
      <c r="AI843">
        <v>12</v>
      </c>
      <c r="AJ843">
        <v>0</v>
      </c>
      <c r="AK843">
        <v>7</v>
      </c>
      <c r="AL843" t="s">
        <v>88</v>
      </c>
      <c r="AM843" t="s">
        <v>89</v>
      </c>
      <c r="AN843" t="s">
        <v>90</v>
      </c>
      <c r="AO843" t="s">
        <v>12736</v>
      </c>
      <c r="AP843" t="s">
        <v>12737</v>
      </c>
      <c r="AQ843" t="s">
        <v>74</v>
      </c>
      <c r="AR843" t="s">
        <v>12738</v>
      </c>
      <c r="AS843" t="s">
        <v>12739</v>
      </c>
      <c r="AT843" t="s">
        <v>12471</v>
      </c>
      <c r="AU843">
        <v>2005</v>
      </c>
      <c r="AV843">
        <v>149</v>
      </c>
      <c r="AW843">
        <v>6</v>
      </c>
      <c r="AX843" t="s">
        <v>74</v>
      </c>
      <c r="AY843" t="s">
        <v>74</v>
      </c>
      <c r="AZ843" t="s">
        <v>74</v>
      </c>
      <c r="BA843" t="s">
        <v>74</v>
      </c>
      <c r="BB843">
        <v>675</v>
      </c>
      <c r="BC843">
        <v>684</v>
      </c>
      <c r="BD843" t="s">
        <v>74</v>
      </c>
      <c r="BE843" t="s">
        <v>12740</v>
      </c>
      <c r="BF843" t="str">
        <f>HYPERLINK("http://dx.doi.org/10.1007/s00410-005-0671-x","http://dx.doi.org/10.1007/s00410-005-0671-x")</f>
        <v>http://dx.doi.org/10.1007/s00410-005-0671-x</v>
      </c>
      <c r="BG843" t="s">
        <v>74</v>
      </c>
      <c r="BH843" t="s">
        <v>74</v>
      </c>
      <c r="BI843">
        <v>10</v>
      </c>
      <c r="BJ843" t="s">
        <v>4950</v>
      </c>
      <c r="BK843" t="s">
        <v>98</v>
      </c>
      <c r="BL843" t="s">
        <v>4950</v>
      </c>
      <c r="BM843" t="s">
        <v>12741</v>
      </c>
      <c r="BN843" t="s">
        <v>74</v>
      </c>
      <c r="BO843" t="s">
        <v>74</v>
      </c>
      <c r="BP843" t="s">
        <v>74</v>
      </c>
      <c r="BQ843" t="s">
        <v>74</v>
      </c>
      <c r="BR843" t="s">
        <v>101</v>
      </c>
      <c r="BS843" t="s">
        <v>12742</v>
      </c>
      <c r="BT843" t="str">
        <f>HYPERLINK("https%3A%2F%2Fwww.webofscience.com%2Fwos%2Fwoscc%2Ffull-record%2FWOS:000231519000004","View Full Record in Web of Science")</f>
        <v>View Full Record in Web of Science</v>
      </c>
    </row>
    <row r="844" spans="1:72" x14ac:dyDescent="0.15">
      <c r="A844" t="s">
        <v>72</v>
      </c>
      <c r="B844" t="s">
        <v>12743</v>
      </c>
      <c r="C844" t="s">
        <v>74</v>
      </c>
      <c r="D844" t="s">
        <v>74</v>
      </c>
      <c r="E844" t="s">
        <v>74</v>
      </c>
      <c r="F844" t="s">
        <v>12743</v>
      </c>
      <c r="G844" t="s">
        <v>74</v>
      </c>
      <c r="H844" t="s">
        <v>74</v>
      </c>
      <c r="I844" t="s">
        <v>12744</v>
      </c>
      <c r="J844" t="s">
        <v>6105</v>
      </c>
      <c r="K844" t="s">
        <v>74</v>
      </c>
      <c r="L844" t="s">
        <v>74</v>
      </c>
      <c r="M844" t="s">
        <v>77</v>
      </c>
      <c r="N844" t="s">
        <v>289</v>
      </c>
      <c r="O844" t="s">
        <v>74</v>
      </c>
      <c r="P844" t="s">
        <v>74</v>
      </c>
      <c r="Q844" t="s">
        <v>74</v>
      </c>
      <c r="R844" t="s">
        <v>74</v>
      </c>
      <c r="S844" t="s">
        <v>74</v>
      </c>
      <c r="T844" t="s">
        <v>12745</v>
      </c>
      <c r="U844" t="s">
        <v>12746</v>
      </c>
      <c r="V844" t="s">
        <v>12747</v>
      </c>
      <c r="W844" t="s">
        <v>12748</v>
      </c>
      <c r="X844" t="s">
        <v>74</v>
      </c>
      <c r="Y844" t="s">
        <v>12749</v>
      </c>
      <c r="Z844" t="s">
        <v>12750</v>
      </c>
      <c r="AA844" t="s">
        <v>12751</v>
      </c>
      <c r="AB844" t="s">
        <v>74</v>
      </c>
      <c r="AC844" t="s">
        <v>74</v>
      </c>
      <c r="AD844" t="s">
        <v>74</v>
      </c>
      <c r="AE844" t="s">
        <v>74</v>
      </c>
      <c r="AF844" t="s">
        <v>74</v>
      </c>
      <c r="AG844">
        <v>163</v>
      </c>
      <c r="AH844">
        <v>23</v>
      </c>
      <c r="AI844">
        <v>24</v>
      </c>
      <c r="AJ844">
        <v>0</v>
      </c>
      <c r="AK844">
        <v>3</v>
      </c>
      <c r="AL844" t="s">
        <v>6115</v>
      </c>
      <c r="AM844" t="s">
        <v>1055</v>
      </c>
      <c r="AN844" t="s">
        <v>6116</v>
      </c>
      <c r="AO844" t="s">
        <v>6117</v>
      </c>
      <c r="AP844" t="s">
        <v>6118</v>
      </c>
      <c r="AQ844" t="s">
        <v>74</v>
      </c>
      <c r="AR844" t="s">
        <v>6119</v>
      </c>
      <c r="AS844" t="s">
        <v>6120</v>
      </c>
      <c r="AT844" t="s">
        <v>12471</v>
      </c>
      <c r="AU844">
        <v>2005</v>
      </c>
      <c r="AV844">
        <v>26</v>
      </c>
      <c r="AW844">
        <v>4</v>
      </c>
      <c r="AX844" t="s">
        <v>74</v>
      </c>
      <c r="AY844" t="s">
        <v>74</v>
      </c>
      <c r="AZ844" t="s">
        <v>74</v>
      </c>
      <c r="BA844" t="s">
        <v>74</v>
      </c>
      <c r="BB844">
        <v>507</v>
      </c>
      <c r="BC844">
        <v>524</v>
      </c>
      <c r="BD844" t="s">
        <v>74</v>
      </c>
      <c r="BE844" t="s">
        <v>12752</v>
      </c>
      <c r="BF844" t="str">
        <f>HYPERLINK("http://dx.doi.org/10.1016/j.cretres.2005.01.009","http://dx.doi.org/10.1016/j.cretres.2005.01.009")</f>
        <v>http://dx.doi.org/10.1016/j.cretres.2005.01.009</v>
      </c>
      <c r="BG844" t="s">
        <v>74</v>
      </c>
      <c r="BH844" t="s">
        <v>74</v>
      </c>
      <c r="BI844">
        <v>18</v>
      </c>
      <c r="BJ844" t="s">
        <v>3879</v>
      </c>
      <c r="BK844" t="s">
        <v>98</v>
      </c>
      <c r="BL844" t="s">
        <v>3879</v>
      </c>
      <c r="BM844" t="s">
        <v>12753</v>
      </c>
      <c r="BN844" t="s">
        <v>74</v>
      </c>
      <c r="BO844" t="s">
        <v>74</v>
      </c>
      <c r="BP844" t="s">
        <v>74</v>
      </c>
      <c r="BQ844" t="s">
        <v>74</v>
      </c>
      <c r="BR844" t="s">
        <v>101</v>
      </c>
      <c r="BS844" t="s">
        <v>12754</v>
      </c>
      <c r="BT844" t="str">
        <f>HYPERLINK("https%3A%2F%2Fwww.webofscience.com%2Fwos%2Fwoscc%2Ffull-record%2FWOS:000232873700001","View Full Record in Web of Science")</f>
        <v>View Full Record in Web of Science</v>
      </c>
    </row>
    <row r="845" spans="1:72" x14ac:dyDescent="0.15">
      <c r="A845" t="s">
        <v>72</v>
      </c>
      <c r="B845" t="s">
        <v>12755</v>
      </c>
      <c r="C845" t="s">
        <v>74</v>
      </c>
      <c r="D845" t="s">
        <v>74</v>
      </c>
      <c r="E845" t="s">
        <v>74</v>
      </c>
      <c r="F845" t="s">
        <v>12755</v>
      </c>
      <c r="G845" t="s">
        <v>74</v>
      </c>
      <c r="H845" t="s">
        <v>74</v>
      </c>
      <c r="I845" t="s">
        <v>12756</v>
      </c>
      <c r="J845" t="s">
        <v>12757</v>
      </c>
      <c r="K845" t="s">
        <v>74</v>
      </c>
      <c r="L845" t="s">
        <v>74</v>
      </c>
      <c r="M845" t="s">
        <v>77</v>
      </c>
      <c r="N845" t="s">
        <v>78</v>
      </c>
      <c r="O845" t="s">
        <v>74</v>
      </c>
      <c r="P845" t="s">
        <v>74</v>
      </c>
      <c r="Q845" t="s">
        <v>74</v>
      </c>
      <c r="R845" t="s">
        <v>74</v>
      </c>
      <c r="S845" t="s">
        <v>74</v>
      </c>
      <c r="T845" t="s">
        <v>12758</v>
      </c>
      <c r="U845" t="s">
        <v>12759</v>
      </c>
      <c r="V845" t="s">
        <v>12760</v>
      </c>
      <c r="W845" t="s">
        <v>801</v>
      </c>
      <c r="X845" t="s">
        <v>788</v>
      </c>
      <c r="Y845" t="s">
        <v>12761</v>
      </c>
      <c r="Z845" t="s">
        <v>12762</v>
      </c>
      <c r="AA845" t="s">
        <v>12763</v>
      </c>
      <c r="AB845" t="s">
        <v>2725</v>
      </c>
      <c r="AC845" t="s">
        <v>74</v>
      </c>
      <c r="AD845" t="s">
        <v>74</v>
      </c>
      <c r="AE845" t="s">
        <v>74</v>
      </c>
      <c r="AF845" t="s">
        <v>74</v>
      </c>
      <c r="AG845">
        <v>17</v>
      </c>
      <c r="AH845">
        <v>38</v>
      </c>
      <c r="AI845">
        <v>41</v>
      </c>
      <c r="AJ845">
        <v>0</v>
      </c>
      <c r="AK845">
        <v>8</v>
      </c>
      <c r="AL845" t="s">
        <v>622</v>
      </c>
      <c r="AM845" t="s">
        <v>140</v>
      </c>
      <c r="AN845" t="s">
        <v>623</v>
      </c>
      <c r="AO845" t="s">
        <v>12764</v>
      </c>
      <c r="AP845" t="s">
        <v>12765</v>
      </c>
      <c r="AQ845" t="s">
        <v>74</v>
      </c>
      <c r="AR845" t="s">
        <v>12766</v>
      </c>
      <c r="AS845" t="s">
        <v>12767</v>
      </c>
      <c r="AT845" t="s">
        <v>12471</v>
      </c>
      <c r="AU845">
        <v>2005</v>
      </c>
      <c r="AV845">
        <v>54</v>
      </c>
      <c r="AW845">
        <v>1</v>
      </c>
      <c r="AX845" t="s">
        <v>74</v>
      </c>
      <c r="AY845" t="s">
        <v>74</v>
      </c>
      <c r="AZ845" t="s">
        <v>74</v>
      </c>
      <c r="BA845" t="s">
        <v>74</v>
      </c>
      <c r="BB845">
        <v>22</v>
      </c>
      <c r="BC845">
        <v>32</v>
      </c>
      <c r="BD845" t="s">
        <v>74</v>
      </c>
      <c r="BE845" t="s">
        <v>12768</v>
      </c>
      <c r="BF845" t="str">
        <f>HYPERLINK("http://dx.doi.org/10.1016/j.envexpbot.2004.05.006","http://dx.doi.org/10.1016/j.envexpbot.2004.05.006")</f>
        <v>http://dx.doi.org/10.1016/j.envexpbot.2004.05.006</v>
      </c>
      <c r="BG845" t="s">
        <v>74</v>
      </c>
      <c r="BH845" t="s">
        <v>74</v>
      </c>
      <c r="BI845">
        <v>11</v>
      </c>
      <c r="BJ845" t="s">
        <v>12769</v>
      </c>
      <c r="BK845" t="s">
        <v>98</v>
      </c>
      <c r="BL845" t="s">
        <v>12770</v>
      </c>
      <c r="BM845" t="s">
        <v>12771</v>
      </c>
      <c r="BN845" t="s">
        <v>74</v>
      </c>
      <c r="BO845" t="s">
        <v>4083</v>
      </c>
      <c r="BP845" t="s">
        <v>74</v>
      </c>
      <c r="BQ845" t="s">
        <v>74</v>
      </c>
      <c r="BR845" t="s">
        <v>101</v>
      </c>
      <c r="BS845" t="s">
        <v>12772</v>
      </c>
      <c r="BT845" t="str">
        <f>HYPERLINK("https%3A%2F%2Fwww.webofscience.com%2Fwos%2Fwoscc%2Ffull-record%2FWOS:000230237400003","View Full Record in Web of Science")</f>
        <v>View Full Record in Web of Science</v>
      </c>
    </row>
    <row r="846" spans="1:72" x14ac:dyDescent="0.15">
      <c r="A846" t="s">
        <v>72</v>
      </c>
      <c r="B846" t="s">
        <v>12773</v>
      </c>
      <c r="C846" t="s">
        <v>74</v>
      </c>
      <c r="D846" t="s">
        <v>74</v>
      </c>
      <c r="E846" t="s">
        <v>74</v>
      </c>
      <c r="F846" t="s">
        <v>12773</v>
      </c>
      <c r="G846" t="s">
        <v>74</v>
      </c>
      <c r="H846" t="s">
        <v>74</v>
      </c>
      <c r="I846" t="s">
        <v>12774</v>
      </c>
      <c r="J846" t="s">
        <v>12775</v>
      </c>
      <c r="K846" t="s">
        <v>74</v>
      </c>
      <c r="L846" t="s">
        <v>74</v>
      </c>
      <c r="M846" t="s">
        <v>77</v>
      </c>
      <c r="N846" t="s">
        <v>78</v>
      </c>
      <c r="O846" t="s">
        <v>74</v>
      </c>
      <c r="P846" t="s">
        <v>74</v>
      </c>
      <c r="Q846" t="s">
        <v>74</v>
      </c>
      <c r="R846" t="s">
        <v>74</v>
      </c>
      <c r="S846" t="s">
        <v>74</v>
      </c>
      <c r="T846" t="s">
        <v>12776</v>
      </c>
      <c r="U846" t="s">
        <v>12777</v>
      </c>
      <c r="V846" t="s">
        <v>12778</v>
      </c>
      <c r="W846" t="s">
        <v>12779</v>
      </c>
      <c r="X846" t="s">
        <v>4354</v>
      </c>
      <c r="Y846" t="s">
        <v>12347</v>
      </c>
      <c r="Z846" t="s">
        <v>12780</v>
      </c>
      <c r="AA846" t="s">
        <v>12781</v>
      </c>
      <c r="AB846" t="s">
        <v>12782</v>
      </c>
      <c r="AC846" t="s">
        <v>74</v>
      </c>
      <c r="AD846" t="s">
        <v>74</v>
      </c>
      <c r="AE846" t="s">
        <v>74</v>
      </c>
      <c r="AF846" t="s">
        <v>74</v>
      </c>
      <c r="AG846">
        <v>54</v>
      </c>
      <c r="AH846">
        <v>87</v>
      </c>
      <c r="AI846">
        <v>95</v>
      </c>
      <c r="AJ846">
        <v>0</v>
      </c>
      <c r="AK846">
        <v>25</v>
      </c>
      <c r="AL846" t="s">
        <v>1891</v>
      </c>
      <c r="AM846" t="s">
        <v>140</v>
      </c>
      <c r="AN846" t="s">
        <v>1892</v>
      </c>
      <c r="AO846" t="s">
        <v>12783</v>
      </c>
      <c r="AP846" t="s">
        <v>12784</v>
      </c>
      <c r="AQ846" t="s">
        <v>74</v>
      </c>
      <c r="AR846" t="s">
        <v>12785</v>
      </c>
      <c r="AS846" t="s">
        <v>12786</v>
      </c>
      <c r="AT846" t="s">
        <v>12787</v>
      </c>
      <c r="AU846">
        <v>2005</v>
      </c>
      <c r="AV846">
        <v>53</v>
      </c>
      <c r="AW846">
        <v>3</v>
      </c>
      <c r="AX846" t="s">
        <v>74</v>
      </c>
      <c r="AY846" t="s">
        <v>74</v>
      </c>
      <c r="AZ846" t="s">
        <v>74</v>
      </c>
      <c r="BA846" t="s">
        <v>74</v>
      </c>
      <c r="BB846">
        <v>379</v>
      </c>
      <c r="BC846">
        <v>391</v>
      </c>
      <c r="BD846" t="s">
        <v>74</v>
      </c>
      <c r="BE846" t="s">
        <v>12788</v>
      </c>
      <c r="BF846" t="str">
        <f>HYPERLINK("http://dx.doi.org/10.1016/j.femsec.2005.01.008","http://dx.doi.org/10.1016/j.femsec.2005.01.008")</f>
        <v>http://dx.doi.org/10.1016/j.femsec.2005.01.008</v>
      </c>
      <c r="BG846" t="s">
        <v>74</v>
      </c>
      <c r="BH846" t="s">
        <v>74</v>
      </c>
      <c r="BI846">
        <v>13</v>
      </c>
      <c r="BJ846" t="s">
        <v>2054</v>
      </c>
      <c r="BK846" t="s">
        <v>98</v>
      </c>
      <c r="BL846" t="s">
        <v>2054</v>
      </c>
      <c r="BM846" t="s">
        <v>12789</v>
      </c>
      <c r="BN846">
        <v>16329957</v>
      </c>
      <c r="BO846" t="s">
        <v>1900</v>
      </c>
      <c r="BP846" t="s">
        <v>74</v>
      </c>
      <c r="BQ846" t="s">
        <v>74</v>
      </c>
      <c r="BR846" t="s">
        <v>101</v>
      </c>
      <c r="BS846" t="s">
        <v>12790</v>
      </c>
      <c r="BT846" t="str">
        <f>HYPERLINK("https%3A%2F%2Fwww.webofscience.com%2Fwos%2Fwoscc%2Ffull-record%2FWOS:000230861300006","View Full Record in Web of Science")</f>
        <v>View Full Record in Web of Science</v>
      </c>
    </row>
    <row r="847" spans="1:72" x14ac:dyDescent="0.15">
      <c r="A847" t="s">
        <v>72</v>
      </c>
      <c r="B847" t="s">
        <v>12791</v>
      </c>
      <c r="C847" t="s">
        <v>74</v>
      </c>
      <c r="D847" t="s">
        <v>74</v>
      </c>
      <c r="E847" t="s">
        <v>74</v>
      </c>
      <c r="F847" t="s">
        <v>12791</v>
      </c>
      <c r="G847" t="s">
        <v>74</v>
      </c>
      <c r="H847" t="s">
        <v>74</v>
      </c>
      <c r="I847" t="s">
        <v>12792</v>
      </c>
      <c r="J847" t="s">
        <v>12793</v>
      </c>
      <c r="K847" t="s">
        <v>74</v>
      </c>
      <c r="L847" t="s">
        <v>74</v>
      </c>
      <c r="M847" t="s">
        <v>77</v>
      </c>
      <c r="N847" t="s">
        <v>78</v>
      </c>
      <c r="O847" t="s">
        <v>74</v>
      </c>
      <c r="P847" t="s">
        <v>74</v>
      </c>
      <c r="Q847" t="s">
        <v>74</v>
      </c>
      <c r="R847" t="s">
        <v>74</v>
      </c>
      <c r="S847" t="s">
        <v>74</v>
      </c>
      <c r="T847" t="s">
        <v>12794</v>
      </c>
      <c r="U847" t="s">
        <v>12795</v>
      </c>
      <c r="V847" t="s">
        <v>12796</v>
      </c>
      <c r="W847" t="s">
        <v>12797</v>
      </c>
      <c r="X847" t="s">
        <v>12798</v>
      </c>
      <c r="Y847" t="s">
        <v>12799</v>
      </c>
      <c r="Z847" t="s">
        <v>12800</v>
      </c>
      <c r="AA847" t="s">
        <v>74</v>
      </c>
      <c r="AB847" t="s">
        <v>74</v>
      </c>
      <c r="AC847" t="s">
        <v>74</v>
      </c>
      <c r="AD847" t="s">
        <v>74</v>
      </c>
      <c r="AE847" t="s">
        <v>74</v>
      </c>
      <c r="AF847" t="s">
        <v>74</v>
      </c>
      <c r="AG847">
        <v>46</v>
      </c>
      <c r="AH847">
        <v>57</v>
      </c>
      <c r="AI847">
        <v>70</v>
      </c>
      <c r="AJ847">
        <v>0</v>
      </c>
      <c r="AK847">
        <v>33</v>
      </c>
      <c r="AL847" t="s">
        <v>2025</v>
      </c>
      <c r="AM847" t="s">
        <v>2026</v>
      </c>
      <c r="AN847" t="s">
        <v>2027</v>
      </c>
      <c r="AO847" t="s">
        <v>12801</v>
      </c>
      <c r="AP847" t="s">
        <v>12802</v>
      </c>
      <c r="AQ847" t="s">
        <v>74</v>
      </c>
      <c r="AR847" t="s">
        <v>12803</v>
      </c>
      <c r="AS847" t="s">
        <v>12804</v>
      </c>
      <c r="AT847" t="s">
        <v>12471</v>
      </c>
      <c r="AU847">
        <v>2005</v>
      </c>
      <c r="AV847">
        <v>50</v>
      </c>
      <c r="AW847">
        <v>8</v>
      </c>
      <c r="AX847" t="s">
        <v>74</v>
      </c>
      <c r="AY847" t="s">
        <v>74</v>
      </c>
      <c r="AZ847" t="s">
        <v>74</v>
      </c>
      <c r="BA847" t="s">
        <v>74</v>
      </c>
      <c r="BB847">
        <v>1291</v>
      </c>
      <c r="BC847">
        <v>1300</v>
      </c>
      <c r="BD847" t="s">
        <v>74</v>
      </c>
      <c r="BE847" t="s">
        <v>12805</v>
      </c>
      <c r="BF847" t="str">
        <f>HYPERLINK("http://dx.doi.org/10.1111/j.1365-2427.2005.01399.x","http://dx.doi.org/10.1111/j.1365-2427.2005.01399.x")</f>
        <v>http://dx.doi.org/10.1111/j.1365-2427.2005.01399.x</v>
      </c>
      <c r="BG847" t="s">
        <v>74</v>
      </c>
      <c r="BH847" t="s">
        <v>74</v>
      </c>
      <c r="BI847">
        <v>10</v>
      </c>
      <c r="BJ847" t="s">
        <v>2628</v>
      </c>
      <c r="BK847" t="s">
        <v>98</v>
      </c>
      <c r="BL847" t="s">
        <v>2629</v>
      </c>
      <c r="BM847" t="s">
        <v>12806</v>
      </c>
      <c r="BN847" t="s">
        <v>74</v>
      </c>
      <c r="BO847" t="s">
        <v>74</v>
      </c>
      <c r="BP847" t="s">
        <v>74</v>
      </c>
      <c r="BQ847" t="s">
        <v>74</v>
      </c>
      <c r="BR847" t="s">
        <v>101</v>
      </c>
      <c r="BS847" t="s">
        <v>12807</v>
      </c>
      <c r="BT847" t="str">
        <f>HYPERLINK("https%3A%2F%2Fwww.webofscience.com%2Fwos%2Fwoscc%2Ffull-record%2FWOS:000230576500001","View Full Record in Web of Science")</f>
        <v>View Full Record in Web of Science</v>
      </c>
    </row>
    <row r="848" spans="1:72" x14ac:dyDescent="0.15">
      <c r="A848" t="s">
        <v>72</v>
      </c>
      <c r="B848" t="s">
        <v>12808</v>
      </c>
      <c r="C848" t="s">
        <v>74</v>
      </c>
      <c r="D848" t="s">
        <v>74</v>
      </c>
      <c r="E848" t="s">
        <v>74</v>
      </c>
      <c r="F848" t="s">
        <v>12808</v>
      </c>
      <c r="G848" t="s">
        <v>74</v>
      </c>
      <c r="H848" t="s">
        <v>74</v>
      </c>
      <c r="I848" t="s">
        <v>12809</v>
      </c>
      <c r="J848" t="s">
        <v>12810</v>
      </c>
      <c r="K848" t="s">
        <v>74</v>
      </c>
      <c r="L848" t="s">
        <v>74</v>
      </c>
      <c r="M848" t="s">
        <v>77</v>
      </c>
      <c r="N848" t="s">
        <v>78</v>
      </c>
      <c r="O848" t="s">
        <v>74</v>
      </c>
      <c r="P848" t="s">
        <v>74</v>
      </c>
      <c r="Q848" t="s">
        <v>74</v>
      </c>
      <c r="R848" t="s">
        <v>74</v>
      </c>
      <c r="S848" t="s">
        <v>74</v>
      </c>
      <c r="T848" t="s">
        <v>74</v>
      </c>
      <c r="U848" t="s">
        <v>12811</v>
      </c>
      <c r="V848" t="s">
        <v>12812</v>
      </c>
      <c r="W848" t="s">
        <v>12813</v>
      </c>
      <c r="X848" t="s">
        <v>12814</v>
      </c>
      <c r="Y848" t="s">
        <v>12815</v>
      </c>
      <c r="Z848" t="s">
        <v>12816</v>
      </c>
      <c r="AA848" t="s">
        <v>74</v>
      </c>
      <c r="AB848" t="s">
        <v>74</v>
      </c>
      <c r="AC848" t="s">
        <v>74</v>
      </c>
      <c r="AD848" t="s">
        <v>74</v>
      </c>
      <c r="AE848" t="s">
        <v>74</v>
      </c>
      <c r="AF848" t="s">
        <v>74</v>
      </c>
      <c r="AG848">
        <v>50</v>
      </c>
      <c r="AH848">
        <v>25</v>
      </c>
      <c r="AI848">
        <v>27</v>
      </c>
      <c r="AJ848">
        <v>0</v>
      </c>
      <c r="AK848">
        <v>0</v>
      </c>
      <c r="AL848" t="s">
        <v>12817</v>
      </c>
      <c r="AM848" t="s">
        <v>5328</v>
      </c>
      <c r="AN848" t="s">
        <v>12818</v>
      </c>
      <c r="AO848" t="s">
        <v>12819</v>
      </c>
      <c r="AP848" t="s">
        <v>12820</v>
      </c>
      <c r="AQ848" t="s">
        <v>74</v>
      </c>
      <c r="AR848" t="s">
        <v>12810</v>
      </c>
      <c r="AS848" t="s">
        <v>12821</v>
      </c>
      <c r="AT848" t="s">
        <v>12471</v>
      </c>
      <c r="AU848">
        <v>2005</v>
      </c>
      <c r="AV848">
        <v>170</v>
      </c>
      <c r="AW848">
        <v>4</v>
      </c>
      <c r="AX848" t="s">
        <v>74</v>
      </c>
      <c r="AY848" t="s">
        <v>74</v>
      </c>
      <c r="AZ848" t="s">
        <v>74</v>
      </c>
      <c r="BA848" t="s">
        <v>74</v>
      </c>
      <c r="BB848">
        <v>1473</v>
      </c>
      <c r="BC848">
        <v>1484</v>
      </c>
      <c r="BD848" t="s">
        <v>74</v>
      </c>
      <c r="BE848" t="s">
        <v>12822</v>
      </c>
      <c r="BF848" t="str">
        <f>HYPERLINK("http://dx.doi.org/10.1534/genetics.104.038943","http://dx.doi.org/10.1534/genetics.104.038943")</f>
        <v>http://dx.doi.org/10.1534/genetics.104.038943</v>
      </c>
      <c r="BG848" t="s">
        <v>74</v>
      </c>
      <c r="BH848" t="s">
        <v>74</v>
      </c>
      <c r="BI848">
        <v>12</v>
      </c>
      <c r="BJ848" t="s">
        <v>5659</v>
      </c>
      <c r="BK848" t="s">
        <v>98</v>
      </c>
      <c r="BL848" t="s">
        <v>5659</v>
      </c>
      <c r="BM848" t="s">
        <v>12823</v>
      </c>
      <c r="BN848">
        <v>15956672</v>
      </c>
      <c r="BO848" t="s">
        <v>5301</v>
      </c>
      <c r="BP848" t="s">
        <v>74</v>
      </c>
      <c r="BQ848" t="s">
        <v>74</v>
      </c>
      <c r="BR848" t="s">
        <v>101</v>
      </c>
      <c r="BS848" t="s">
        <v>12824</v>
      </c>
      <c r="BT848" t="str">
        <f>HYPERLINK("https%3A%2F%2Fwww.webofscience.com%2Fwos%2Fwoscc%2Ffull-record%2FWOS:000232033300004","View Full Record in Web of Science")</f>
        <v>View Full Record in Web of Science</v>
      </c>
    </row>
    <row r="849" spans="1:72" x14ac:dyDescent="0.15">
      <c r="A849" t="s">
        <v>72</v>
      </c>
      <c r="B849" t="s">
        <v>12825</v>
      </c>
      <c r="C849" t="s">
        <v>74</v>
      </c>
      <c r="D849" t="s">
        <v>74</v>
      </c>
      <c r="E849" t="s">
        <v>74</v>
      </c>
      <c r="F849" t="s">
        <v>12825</v>
      </c>
      <c r="G849" t="s">
        <v>74</v>
      </c>
      <c r="H849" t="s">
        <v>74</v>
      </c>
      <c r="I849" t="s">
        <v>12826</v>
      </c>
      <c r="J849" t="s">
        <v>1882</v>
      </c>
      <c r="K849" t="s">
        <v>74</v>
      </c>
      <c r="L849" t="s">
        <v>74</v>
      </c>
      <c r="M849" t="s">
        <v>77</v>
      </c>
      <c r="N849" t="s">
        <v>78</v>
      </c>
      <c r="O849" t="s">
        <v>74</v>
      </c>
      <c r="P849" t="s">
        <v>74</v>
      </c>
      <c r="Q849" t="s">
        <v>74</v>
      </c>
      <c r="R849" t="s">
        <v>74</v>
      </c>
      <c r="S849" t="s">
        <v>74</v>
      </c>
      <c r="T849" t="s">
        <v>12827</v>
      </c>
      <c r="U849" t="s">
        <v>12828</v>
      </c>
      <c r="V849" t="s">
        <v>12829</v>
      </c>
      <c r="W849" t="s">
        <v>12830</v>
      </c>
      <c r="X849" t="s">
        <v>12831</v>
      </c>
      <c r="Y849" t="s">
        <v>12832</v>
      </c>
      <c r="Z849" t="s">
        <v>12833</v>
      </c>
      <c r="AA849" t="s">
        <v>12834</v>
      </c>
      <c r="AB849" t="s">
        <v>12835</v>
      </c>
      <c r="AC849" t="s">
        <v>74</v>
      </c>
      <c r="AD849" t="s">
        <v>74</v>
      </c>
      <c r="AE849" t="s">
        <v>74</v>
      </c>
      <c r="AF849" t="s">
        <v>74</v>
      </c>
      <c r="AG849">
        <v>22</v>
      </c>
      <c r="AH849">
        <v>21</v>
      </c>
      <c r="AI849">
        <v>22</v>
      </c>
      <c r="AJ849">
        <v>0</v>
      </c>
      <c r="AK849">
        <v>11</v>
      </c>
      <c r="AL849" t="s">
        <v>1891</v>
      </c>
      <c r="AM849" t="s">
        <v>140</v>
      </c>
      <c r="AN849" t="s">
        <v>1892</v>
      </c>
      <c r="AO849" t="s">
        <v>1893</v>
      </c>
      <c r="AP849" t="s">
        <v>1894</v>
      </c>
      <c r="AQ849" t="s">
        <v>74</v>
      </c>
      <c r="AR849" t="s">
        <v>1895</v>
      </c>
      <c r="AS849" t="s">
        <v>1896</v>
      </c>
      <c r="AT849" t="s">
        <v>12471</v>
      </c>
      <c r="AU849">
        <v>2005</v>
      </c>
      <c r="AV849">
        <v>62</v>
      </c>
      <c r="AW849">
        <v>5</v>
      </c>
      <c r="AX849" t="s">
        <v>74</v>
      </c>
      <c r="AY849" t="s">
        <v>74</v>
      </c>
      <c r="AZ849" t="s">
        <v>74</v>
      </c>
      <c r="BA849" t="s">
        <v>74</v>
      </c>
      <c r="BB849">
        <v>956</v>
      </c>
      <c r="BC849">
        <v>965</v>
      </c>
      <c r="BD849" t="s">
        <v>74</v>
      </c>
      <c r="BE849" t="s">
        <v>12836</v>
      </c>
      <c r="BF849" t="str">
        <f>HYPERLINK("http://dx.doi.org/10.1016/j.icesjms.2005.01.024","http://dx.doi.org/10.1016/j.icesjms.2005.01.024")</f>
        <v>http://dx.doi.org/10.1016/j.icesjms.2005.01.024</v>
      </c>
      <c r="BG849" t="s">
        <v>74</v>
      </c>
      <c r="BH849" t="s">
        <v>74</v>
      </c>
      <c r="BI849">
        <v>10</v>
      </c>
      <c r="BJ849" t="s">
        <v>1898</v>
      </c>
      <c r="BK849" t="s">
        <v>98</v>
      </c>
      <c r="BL849" t="s">
        <v>1898</v>
      </c>
      <c r="BM849" t="s">
        <v>12837</v>
      </c>
      <c r="BN849" t="s">
        <v>74</v>
      </c>
      <c r="BO849" t="s">
        <v>1900</v>
      </c>
      <c r="BP849" t="s">
        <v>74</v>
      </c>
      <c r="BQ849" t="s">
        <v>74</v>
      </c>
      <c r="BR849" t="s">
        <v>101</v>
      </c>
      <c r="BS849" t="s">
        <v>12838</v>
      </c>
      <c r="BT849" t="str">
        <f>HYPERLINK("https%3A%2F%2Fwww.webofscience.com%2Fwos%2Fwoscc%2Ffull-record%2FWOS:000230998900012","View Full Record in Web of Science")</f>
        <v>View Full Record in Web of Science</v>
      </c>
    </row>
    <row r="850" spans="1:72" x14ac:dyDescent="0.15">
      <c r="A850" t="s">
        <v>72</v>
      </c>
      <c r="B850" t="s">
        <v>8505</v>
      </c>
      <c r="C850" t="s">
        <v>74</v>
      </c>
      <c r="D850" t="s">
        <v>74</v>
      </c>
      <c r="E850" t="s">
        <v>74</v>
      </c>
      <c r="F850" t="s">
        <v>8505</v>
      </c>
      <c r="G850" t="s">
        <v>74</v>
      </c>
      <c r="H850" t="s">
        <v>74</v>
      </c>
      <c r="I850" t="s">
        <v>12839</v>
      </c>
      <c r="J850" t="s">
        <v>5234</v>
      </c>
      <c r="K850" t="s">
        <v>74</v>
      </c>
      <c r="L850" t="s">
        <v>74</v>
      </c>
      <c r="M850" t="s">
        <v>77</v>
      </c>
      <c r="N850" t="s">
        <v>78</v>
      </c>
      <c r="O850" t="s">
        <v>74</v>
      </c>
      <c r="P850" t="s">
        <v>74</v>
      </c>
      <c r="Q850" t="s">
        <v>74</v>
      </c>
      <c r="R850" t="s">
        <v>74</v>
      </c>
      <c r="S850" t="s">
        <v>74</v>
      </c>
      <c r="T850" t="s">
        <v>74</v>
      </c>
      <c r="U850" t="s">
        <v>74</v>
      </c>
      <c r="V850" t="s">
        <v>12840</v>
      </c>
      <c r="W850" t="s">
        <v>12841</v>
      </c>
      <c r="X850" t="s">
        <v>6158</v>
      </c>
      <c r="Y850" t="s">
        <v>12842</v>
      </c>
      <c r="Z850" t="s">
        <v>12843</v>
      </c>
      <c r="AA850" t="s">
        <v>12844</v>
      </c>
      <c r="AB850" t="s">
        <v>8513</v>
      </c>
      <c r="AC850" t="s">
        <v>74</v>
      </c>
      <c r="AD850" t="s">
        <v>74</v>
      </c>
      <c r="AE850" t="s">
        <v>74</v>
      </c>
      <c r="AF850" t="s">
        <v>74</v>
      </c>
      <c r="AG850">
        <v>16</v>
      </c>
      <c r="AH850">
        <v>124</v>
      </c>
      <c r="AI850">
        <v>127</v>
      </c>
      <c r="AJ850">
        <v>1</v>
      </c>
      <c r="AK850">
        <v>3</v>
      </c>
      <c r="AL850" t="s">
        <v>348</v>
      </c>
      <c r="AM850" t="s">
        <v>349</v>
      </c>
      <c r="AN850" t="s">
        <v>1523</v>
      </c>
      <c r="AO850" t="s">
        <v>5241</v>
      </c>
      <c r="AP850" t="s">
        <v>5242</v>
      </c>
      <c r="AQ850" t="s">
        <v>74</v>
      </c>
      <c r="AR850" t="s">
        <v>5243</v>
      </c>
      <c r="AS850" t="s">
        <v>5244</v>
      </c>
      <c r="AT850" t="s">
        <v>12471</v>
      </c>
      <c r="AU850">
        <v>2005</v>
      </c>
      <c r="AV850">
        <v>26</v>
      </c>
      <c r="AW850">
        <v>16</v>
      </c>
      <c r="AX850" t="s">
        <v>74</v>
      </c>
      <c r="AY850" t="s">
        <v>74</v>
      </c>
      <c r="AZ850" t="s">
        <v>74</v>
      </c>
      <c r="BA850" t="s">
        <v>74</v>
      </c>
      <c r="BB850">
        <v>3333</v>
      </c>
      <c r="BC850">
        <v>3342</v>
      </c>
      <c r="BD850" t="s">
        <v>74</v>
      </c>
      <c r="BE850" t="s">
        <v>12845</v>
      </c>
      <c r="BF850" t="str">
        <f>HYPERLINK("http://dx.doi.org/10.1080/01431160500076111","http://dx.doi.org/10.1080/01431160500076111")</f>
        <v>http://dx.doi.org/10.1080/01431160500076111</v>
      </c>
      <c r="BG850" t="s">
        <v>74</v>
      </c>
      <c r="BH850" t="s">
        <v>74</v>
      </c>
      <c r="BI850">
        <v>10</v>
      </c>
      <c r="BJ850" t="s">
        <v>5246</v>
      </c>
      <c r="BK850" t="s">
        <v>98</v>
      </c>
      <c r="BL850" t="s">
        <v>5246</v>
      </c>
      <c r="BM850" t="s">
        <v>12846</v>
      </c>
      <c r="BN850" t="s">
        <v>74</v>
      </c>
      <c r="BO850" t="s">
        <v>74</v>
      </c>
      <c r="BP850" t="s">
        <v>74</v>
      </c>
      <c r="BQ850" t="s">
        <v>74</v>
      </c>
      <c r="BR850" t="s">
        <v>101</v>
      </c>
      <c r="BS850" t="s">
        <v>12847</v>
      </c>
      <c r="BT850" t="str">
        <f>HYPERLINK("https%3A%2F%2Fwww.webofscience.com%2Fwos%2Fwoscc%2Ffull-record%2FWOS:000231953900002","View Full Record in Web of Science")</f>
        <v>View Full Record in Web of Science</v>
      </c>
    </row>
    <row r="851" spans="1:72" x14ac:dyDescent="0.15">
      <c r="A851" t="s">
        <v>72</v>
      </c>
      <c r="B851" t="s">
        <v>12848</v>
      </c>
      <c r="C851" t="s">
        <v>74</v>
      </c>
      <c r="D851" t="s">
        <v>74</v>
      </c>
      <c r="E851" t="s">
        <v>74</v>
      </c>
      <c r="F851" t="s">
        <v>12848</v>
      </c>
      <c r="G851" t="s">
        <v>74</v>
      </c>
      <c r="H851" t="s">
        <v>74</v>
      </c>
      <c r="I851" t="s">
        <v>12849</v>
      </c>
      <c r="J851" t="s">
        <v>5234</v>
      </c>
      <c r="K851" t="s">
        <v>74</v>
      </c>
      <c r="L851" t="s">
        <v>74</v>
      </c>
      <c r="M851" t="s">
        <v>77</v>
      </c>
      <c r="N851" t="s">
        <v>78</v>
      </c>
      <c r="O851" t="s">
        <v>74</v>
      </c>
      <c r="P851" t="s">
        <v>74</v>
      </c>
      <c r="Q851" t="s">
        <v>74</v>
      </c>
      <c r="R851" t="s">
        <v>74</v>
      </c>
      <c r="S851" t="s">
        <v>74</v>
      </c>
      <c r="T851" t="s">
        <v>74</v>
      </c>
      <c r="U851" t="s">
        <v>12850</v>
      </c>
      <c r="V851" t="s">
        <v>12851</v>
      </c>
      <c r="W851" t="s">
        <v>12852</v>
      </c>
      <c r="X851" t="s">
        <v>12853</v>
      </c>
      <c r="Y851" t="s">
        <v>12854</v>
      </c>
      <c r="Z851" t="s">
        <v>12855</v>
      </c>
      <c r="AA851" t="s">
        <v>12856</v>
      </c>
      <c r="AB851" t="s">
        <v>12857</v>
      </c>
      <c r="AC851" t="s">
        <v>74</v>
      </c>
      <c r="AD851" t="s">
        <v>74</v>
      </c>
      <c r="AE851" t="s">
        <v>74</v>
      </c>
      <c r="AF851" t="s">
        <v>74</v>
      </c>
      <c r="AG851">
        <v>33</v>
      </c>
      <c r="AH851">
        <v>5</v>
      </c>
      <c r="AI851">
        <v>5</v>
      </c>
      <c r="AJ851">
        <v>0</v>
      </c>
      <c r="AK851">
        <v>6</v>
      </c>
      <c r="AL851" t="s">
        <v>348</v>
      </c>
      <c r="AM851" t="s">
        <v>349</v>
      </c>
      <c r="AN851" t="s">
        <v>1523</v>
      </c>
      <c r="AO851" t="s">
        <v>5241</v>
      </c>
      <c r="AP851" t="s">
        <v>5242</v>
      </c>
      <c r="AQ851" t="s">
        <v>74</v>
      </c>
      <c r="AR851" t="s">
        <v>5243</v>
      </c>
      <c r="AS851" t="s">
        <v>5244</v>
      </c>
      <c r="AT851" t="s">
        <v>12471</v>
      </c>
      <c r="AU851">
        <v>2005</v>
      </c>
      <c r="AV851">
        <v>26</v>
      </c>
      <c r="AW851">
        <v>16</v>
      </c>
      <c r="AX851" t="s">
        <v>74</v>
      </c>
      <c r="AY851" t="s">
        <v>74</v>
      </c>
      <c r="AZ851" t="s">
        <v>74</v>
      </c>
      <c r="BA851" t="s">
        <v>74</v>
      </c>
      <c r="BB851">
        <v>3343</v>
      </c>
      <c r="BC851">
        <v>3360</v>
      </c>
      <c r="BD851" t="s">
        <v>74</v>
      </c>
      <c r="BE851" t="s">
        <v>12858</v>
      </c>
      <c r="BF851" t="str">
        <f>HYPERLINK("http://dx.doi.org/10.1080/01431160500076210","http://dx.doi.org/10.1080/01431160500076210")</f>
        <v>http://dx.doi.org/10.1080/01431160500076210</v>
      </c>
      <c r="BG851" t="s">
        <v>74</v>
      </c>
      <c r="BH851" t="s">
        <v>74</v>
      </c>
      <c r="BI851">
        <v>18</v>
      </c>
      <c r="BJ851" t="s">
        <v>5246</v>
      </c>
      <c r="BK851" t="s">
        <v>98</v>
      </c>
      <c r="BL851" t="s">
        <v>5246</v>
      </c>
      <c r="BM851" t="s">
        <v>12846</v>
      </c>
      <c r="BN851" t="s">
        <v>74</v>
      </c>
      <c r="BO851" t="s">
        <v>74</v>
      </c>
      <c r="BP851" t="s">
        <v>74</v>
      </c>
      <c r="BQ851" t="s">
        <v>74</v>
      </c>
      <c r="BR851" t="s">
        <v>101</v>
      </c>
      <c r="BS851" t="s">
        <v>12859</v>
      </c>
      <c r="BT851" t="str">
        <f>HYPERLINK("https%3A%2F%2Fwww.webofscience.com%2Fwos%2Fwoscc%2Ffull-record%2FWOS:000231953900003","View Full Record in Web of Science")</f>
        <v>View Full Record in Web of Science</v>
      </c>
    </row>
    <row r="852" spans="1:72" x14ac:dyDescent="0.15">
      <c r="A852" t="s">
        <v>72</v>
      </c>
      <c r="B852" t="s">
        <v>12860</v>
      </c>
      <c r="C852" t="s">
        <v>74</v>
      </c>
      <c r="D852" t="s">
        <v>74</v>
      </c>
      <c r="E852" t="s">
        <v>74</v>
      </c>
      <c r="F852" t="s">
        <v>12860</v>
      </c>
      <c r="G852" t="s">
        <v>74</v>
      </c>
      <c r="H852" t="s">
        <v>74</v>
      </c>
      <c r="I852" t="s">
        <v>12861</v>
      </c>
      <c r="J852" t="s">
        <v>5234</v>
      </c>
      <c r="K852" t="s">
        <v>74</v>
      </c>
      <c r="L852" t="s">
        <v>74</v>
      </c>
      <c r="M852" t="s">
        <v>77</v>
      </c>
      <c r="N852" t="s">
        <v>78</v>
      </c>
      <c r="O852" t="s">
        <v>74</v>
      </c>
      <c r="P852" t="s">
        <v>74</v>
      </c>
      <c r="Q852" t="s">
        <v>74</v>
      </c>
      <c r="R852" t="s">
        <v>74</v>
      </c>
      <c r="S852" t="s">
        <v>74</v>
      </c>
      <c r="T852" t="s">
        <v>74</v>
      </c>
      <c r="U852" t="s">
        <v>12862</v>
      </c>
      <c r="V852" t="s">
        <v>12863</v>
      </c>
      <c r="W852" t="s">
        <v>12864</v>
      </c>
      <c r="X852" t="s">
        <v>12865</v>
      </c>
      <c r="Y852" t="s">
        <v>12866</v>
      </c>
      <c r="Z852" t="s">
        <v>12867</v>
      </c>
      <c r="AA852" t="s">
        <v>12868</v>
      </c>
      <c r="AB852" t="s">
        <v>12869</v>
      </c>
      <c r="AC852" t="s">
        <v>74</v>
      </c>
      <c r="AD852" t="s">
        <v>74</v>
      </c>
      <c r="AE852" t="s">
        <v>74</v>
      </c>
      <c r="AF852" t="s">
        <v>74</v>
      </c>
      <c r="AG852">
        <v>35</v>
      </c>
      <c r="AH852">
        <v>6</v>
      </c>
      <c r="AI852">
        <v>6</v>
      </c>
      <c r="AJ852">
        <v>0</v>
      </c>
      <c r="AK852">
        <v>2</v>
      </c>
      <c r="AL852" t="s">
        <v>348</v>
      </c>
      <c r="AM852" t="s">
        <v>349</v>
      </c>
      <c r="AN852" t="s">
        <v>1523</v>
      </c>
      <c r="AO852" t="s">
        <v>5241</v>
      </c>
      <c r="AP852" t="s">
        <v>5242</v>
      </c>
      <c r="AQ852" t="s">
        <v>74</v>
      </c>
      <c r="AR852" t="s">
        <v>5243</v>
      </c>
      <c r="AS852" t="s">
        <v>5244</v>
      </c>
      <c r="AT852" t="s">
        <v>12471</v>
      </c>
      <c r="AU852">
        <v>2005</v>
      </c>
      <c r="AV852">
        <v>26</v>
      </c>
      <c r="AW852">
        <v>16</v>
      </c>
      <c r="AX852" t="s">
        <v>74</v>
      </c>
      <c r="AY852" t="s">
        <v>74</v>
      </c>
      <c r="AZ852" t="s">
        <v>74</v>
      </c>
      <c r="BA852" t="s">
        <v>74</v>
      </c>
      <c r="BB852">
        <v>3361</v>
      </c>
      <c r="BC852">
        <v>3376</v>
      </c>
      <c r="BD852" t="s">
        <v>74</v>
      </c>
      <c r="BE852" t="s">
        <v>12870</v>
      </c>
      <c r="BF852" t="str">
        <f>HYPERLINK("http://dx.doi.org/10.1080/01431160500076285","http://dx.doi.org/10.1080/01431160500076285")</f>
        <v>http://dx.doi.org/10.1080/01431160500076285</v>
      </c>
      <c r="BG852" t="s">
        <v>74</v>
      </c>
      <c r="BH852" t="s">
        <v>74</v>
      </c>
      <c r="BI852">
        <v>16</v>
      </c>
      <c r="BJ852" t="s">
        <v>5246</v>
      </c>
      <c r="BK852" t="s">
        <v>98</v>
      </c>
      <c r="BL852" t="s">
        <v>5246</v>
      </c>
      <c r="BM852" t="s">
        <v>12846</v>
      </c>
      <c r="BN852" t="s">
        <v>74</v>
      </c>
      <c r="BO852" t="s">
        <v>722</v>
      </c>
      <c r="BP852" t="s">
        <v>74</v>
      </c>
      <c r="BQ852" t="s">
        <v>74</v>
      </c>
      <c r="BR852" t="s">
        <v>101</v>
      </c>
      <c r="BS852" t="s">
        <v>12871</v>
      </c>
      <c r="BT852" t="str">
        <f>HYPERLINK("https%3A%2F%2Fwww.webofscience.com%2Fwos%2Fwoscc%2Ffull-record%2FWOS:000231953900004","View Full Record in Web of Science")</f>
        <v>View Full Record in Web of Science</v>
      </c>
    </row>
    <row r="853" spans="1:72" x14ac:dyDescent="0.15">
      <c r="A853" t="s">
        <v>72</v>
      </c>
      <c r="B853" t="s">
        <v>12872</v>
      </c>
      <c r="C853" t="s">
        <v>74</v>
      </c>
      <c r="D853" t="s">
        <v>74</v>
      </c>
      <c r="E853" t="s">
        <v>74</v>
      </c>
      <c r="F853" t="s">
        <v>12872</v>
      </c>
      <c r="G853" t="s">
        <v>74</v>
      </c>
      <c r="H853" t="s">
        <v>74</v>
      </c>
      <c r="I853" t="s">
        <v>12873</v>
      </c>
      <c r="J853" t="s">
        <v>5234</v>
      </c>
      <c r="K853" t="s">
        <v>74</v>
      </c>
      <c r="L853" t="s">
        <v>74</v>
      </c>
      <c r="M853" t="s">
        <v>77</v>
      </c>
      <c r="N853" t="s">
        <v>78</v>
      </c>
      <c r="O853" t="s">
        <v>74</v>
      </c>
      <c r="P853" t="s">
        <v>74</v>
      </c>
      <c r="Q853" t="s">
        <v>74</v>
      </c>
      <c r="R853" t="s">
        <v>74</v>
      </c>
      <c r="S853" t="s">
        <v>74</v>
      </c>
      <c r="T853" t="s">
        <v>74</v>
      </c>
      <c r="U853" t="s">
        <v>12874</v>
      </c>
      <c r="V853" t="s">
        <v>12875</v>
      </c>
      <c r="W853" t="s">
        <v>12876</v>
      </c>
      <c r="X853" t="s">
        <v>12877</v>
      </c>
      <c r="Y853" t="s">
        <v>12878</v>
      </c>
      <c r="Z853" t="s">
        <v>12879</v>
      </c>
      <c r="AA853" t="s">
        <v>12880</v>
      </c>
      <c r="AB853" t="s">
        <v>12881</v>
      </c>
      <c r="AC853" t="s">
        <v>74</v>
      </c>
      <c r="AD853" t="s">
        <v>74</v>
      </c>
      <c r="AE853" t="s">
        <v>74</v>
      </c>
      <c r="AF853" t="s">
        <v>74</v>
      </c>
      <c r="AG853">
        <v>18</v>
      </c>
      <c r="AH853">
        <v>17</v>
      </c>
      <c r="AI853">
        <v>18</v>
      </c>
      <c r="AJ853">
        <v>0</v>
      </c>
      <c r="AK853">
        <v>3</v>
      </c>
      <c r="AL853" t="s">
        <v>348</v>
      </c>
      <c r="AM853" t="s">
        <v>349</v>
      </c>
      <c r="AN853" t="s">
        <v>1523</v>
      </c>
      <c r="AO853" t="s">
        <v>5241</v>
      </c>
      <c r="AP853" t="s">
        <v>5242</v>
      </c>
      <c r="AQ853" t="s">
        <v>74</v>
      </c>
      <c r="AR853" t="s">
        <v>5243</v>
      </c>
      <c r="AS853" t="s">
        <v>5244</v>
      </c>
      <c r="AT853" t="s">
        <v>12471</v>
      </c>
      <c r="AU853">
        <v>2005</v>
      </c>
      <c r="AV853">
        <v>26</v>
      </c>
      <c r="AW853">
        <v>16</v>
      </c>
      <c r="AX853" t="s">
        <v>74</v>
      </c>
      <c r="AY853" t="s">
        <v>74</v>
      </c>
      <c r="AZ853" t="s">
        <v>74</v>
      </c>
      <c r="BA853" t="s">
        <v>74</v>
      </c>
      <c r="BB853">
        <v>3377</v>
      </c>
      <c r="BC853">
        <v>3387</v>
      </c>
      <c r="BD853" t="s">
        <v>74</v>
      </c>
      <c r="BE853" t="s">
        <v>12882</v>
      </c>
      <c r="BF853" t="str">
        <f>HYPERLINK("http://dx.doi.org/10.1080/01431160500076350","http://dx.doi.org/10.1080/01431160500076350")</f>
        <v>http://dx.doi.org/10.1080/01431160500076350</v>
      </c>
      <c r="BG853" t="s">
        <v>74</v>
      </c>
      <c r="BH853" t="s">
        <v>74</v>
      </c>
      <c r="BI853">
        <v>11</v>
      </c>
      <c r="BJ853" t="s">
        <v>5246</v>
      </c>
      <c r="BK853" t="s">
        <v>98</v>
      </c>
      <c r="BL853" t="s">
        <v>5246</v>
      </c>
      <c r="BM853" t="s">
        <v>12846</v>
      </c>
      <c r="BN853" t="s">
        <v>74</v>
      </c>
      <c r="BO853" t="s">
        <v>74</v>
      </c>
      <c r="BP853" t="s">
        <v>74</v>
      </c>
      <c r="BQ853" t="s">
        <v>74</v>
      </c>
      <c r="BR853" t="s">
        <v>101</v>
      </c>
      <c r="BS853" t="s">
        <v>12883</v>
      </c>
      <c r="BT853" t="str">
        <f>HYPERLINK("https%3A%2F%2Fwww.webofscience.com%2Fwos%2Fwoscc%2Ffull-record%2FWOS:000231953900005","View Full Record in Web of Science")</f>
        <v>View Full Record in Web of Science</v>
      </c>
    </row>
    <row r="854" spans="1:72" x14ac:dyDescent="0.15">
      <c r="A854" t="s">
        <v>72</v>
      </c>
      <c r="B854" t="s">
        <v>12884</v>
      </c>
      <c r="C854" t="s">
        <v>74</v>
      </c>
      <c r="D854" t="s">
        <v>74</v>
      </c>
      <c r="E854" t="s">
        <v>74</v>
      </c>
      <c r="F854" t="s">
        <v>12884</v>
      </c>
      <c r="G854" t="s">
        <v>74</v>
      </c>
      <c r="H854" t="s">
        <v>74</v>
      </c>
      <c r="I854" t="s">
        <v>12885</v>
      </c>
      <c r="J854" t="s">
        <v>5234</v>
      </c>
      <c r="K854" t="s">
        <v>74</v>
      </c>
      <c r="L854" t="s">
        <v>74</v>
      </c>
      <c r="M854" t="s">
        <v>77</v>
      </c>
      <c r="N854" t="s">
        <v>78</v>
      </c>
      <c r="O854" t="s">
        <v>74</v>
      </c>
      <c r="P854" t="s">
        <v>74</v>
      </c>
      <c r="Q854" t="s">
        <v>74</v>
      </c>
      <c r="R854" t="s">
        <v>74</v>
      </c>
      <c r="S854" t="s">
        <v>74</v>
      </c>
      <c r="T854" t="s">
        <v>74</v>
      </c>
      <c r="U854" t="s">
        <v>12886</v>
      </c>
      <c r="V854" t="s">
        <v>12887</v>
      </c>
      <c r="W854" t="s">
        <v>12888</v>
      </c>
      <c r="X854" t="s">
        <v>6158</v>
      </c>
      <c r="Y854" t="s">
        <v>12889</v>
      </c>
      <c r="Z854" t="s">
        <v>12890</v>
      </c>
      <c r="AA854" t="s">
        <v>12891</v>
      </c>
      <c r="AB854" t="s">
        <v>74</v>
      </c>
      <c r="AC854" t="s">
        <v>74</v>
      </c>
      <c r="AD854" t="s">
        <v>74</v>
      </c>
      <c r="AE854" t="s">
        <v>74</v>
      </c>
      <c r="AF854" t="s">
        <v>74</v>
      </c>
      <c r="AG854">
        <v>24</v>
      </c>
      <c r="AH854">
        <v>0</v>
      </c>
      <c r="AI854">
        <v>0</v>
      </c>
      <c r="AJ854">
        <v>0</v>
      </c>
      <c r="AK854">
        <v>1</v>
      </c>
      <c r="AL854" t="s">
        <v>348</v>
      </c>
      <c r="AM854" t="s">
        <v>349</v>
      </c>
      <c r="AN854" t="s">
        <v>1523</v>
      </c>
      <c r="AO854" t="s">
        <v>5241</v>
      </c>
      <c r="AP854" t="s">
        <v>5242</v>
      </c>
      <c r="AQ854" t="s">
        <v>74</v>
      </c>
      <c r="AR854" t="s">
        <v>5243</v>
      </c>
      <c r="AS854" t="s">
        <v>5244</v>
      </c>
      <c r="AT854" t="s">
        <v>12471</v>
      </c>
      <c r="AU854">
        <v>2005</v>
      </c>
      <c r="AV854">
        <v>26</v>
      </c>
      <c r="AW854">
        <v>16</v>
      </c>
      <c r="AX854" t="s">
        <v>74</v>
      </c>
      <c r="AY854" t="s">
        <v>74</v>
      </c>
      <c r="AZ854" t="s">
        <v>74</v>
      </c>
      <c r="BA854" t="s">
        <v>74</v>
      </c>
      <c r="BB854">
        <v>3389</v>
      </c>
      <c r="BC854">
        <v>3393</v>
      </c>
      <c r="BD854" t="s">
        <v>74</v>
      </c>
      <c r="BE854" t="s">
        <v>12892</v>
      </c>
      <c r="BF854" t="str">
        <f>HYPERLINK("http://dx.doi.org/10.1080/01431160500076392","http://dx.doi.org/10.1080/01431160500076392")</f>
        <v>http://dx.doi.org/10.1080/01431160500076392</v>
      </c>
      <c r="BG854" t="s">
        <v>74</v>
      </c>
      <c r="BH854" t="s">
        <v>74</v>
      </c>
      <c r="BI854">
        <v>5</v>
      </c>
      <c r="BJ854" t="s">
        <v>5246</v>
      </c>
      <c r="BK854" t="s">
        <v>98</v>
      </c>
      <c r="BL854" t="s">
        <v>5246</v>
      </c>
      <c r="BM854" t="s">
        <v>12846</v>
      </c>
      <c r="BN854" t="s">
        <v>74</v>
      </c>
      <c r="BO854" t="s">
        <v>74</v>
      </c>
      <c r="BP854" t="s">
        <v>74</v>
      </c>
      <c r="BQ854" t="s">
        <v>74</v>
      </c>
      <c r="BR854" t="s">
        <v>101</v>
      </c>
      <c r="BS854" t="s">
        <v>12893</v>
      </c>
      <c r="BT854" t="str">
        <f>HYPERLINK("https%3A%2F%2Fwww.webofscience.com%2Fwos%2Fwoscc%2Ffull-record%2FWOS:000231953900006","View Full Record in Web of Science")</f>
        <v>View Full Record in Web of Science</v>
      </c>
    </row>
    <row r="855" spans="1:72" x14ac:dyDescent="0.15">
      <c r="A855" t="s">
        <v>72</v>
      </c>
      <c r="B855" t="s">
        <v>12894</v>
      </c>
      <c r="C855" t="s">
        <v>74</v>
      </c>
      <c r="D855" t="s">
        <v>74</v>
      </c>
      <c r="E855" t="s">
        <v>74</v>
      </c>
      <c r="F855" t="s">
        <v>12894</v>
      </c>
      <c r="G855" t="s">
        <v>74</v>
      </c>
      <c r="H855" t="s">
        <v>74</v>
      </c>
      <c r="I855" t="s">
        <v>12895</v>
      </c>
      <c r="J855" t="s">
        <v>5234</v>
      </c>
      <c r="K855" t="s">
        <v>74</v>
      </c>
      <c r="L855" t="s">
        <v>74</v>
      </c>
      <c r="M855" t="s">
        <v>77</v>
      </c>
      <c r="N855" t="s">
        <v>78</v>
      </c>
      <c r="O855" t="s">
        <v>74</v>
      </c>
      <c r="P855" t="s">
        <v>74</v>
      </c>
      <c r="Q855" t="s">
        <v>74</v>
      </c>
      <c r="R855" t="s">
        <v>74</v>
      </c>
      <c r="S855" t="s">
        <v>74</v>
      </c>
      <c r="T855" t="s">
        <v>74</v>
      </c>
      <c r="U855" t="s">
        <v>12896</v>
      </c>
      <c r="V855" t="s">
        <v>12897</v>
      </c>
      <c r="W855" t="s">
        <v>12898</v>
      </c>
      <c r="X855" t="s">
        <v>12899</v>
      </c>
      <c r="Y855" t="s">
        <v>12900</v>
      </c>
      <c r="Z855" t="s">
        <v>12901</v>
      </c>
      <c r="AA855" t="s">
        <v>12902</v>
      </c>
      <c r="AB855" t="s">
        <v>12903</v>
      </c>
      <c r="AC855" t="s">
        <v>74</v>
      </c>
      <c r="AD855" t="s">
        <v>74</v>
      </c>
      <c r="AE855" t="s">
        <v>74</v>
      </c>
      <c r="AF855" t="s">
        <v>74</v>
      </c>
      <c r="AG855">
        <v>36</v>
      </c>
      <c r="AH855">
        <v>14</v>
      </c>
      <c r="AI855">
        <v>15</v>
      </c>
      <c r="AJ855">
        <v>1</v>
      </c>
      <c r="AK855">
        <v>8</v>
      </c>
      <c r="AL855" t="s">
        <v>348</v>
      </c>
      <c r="AM855" t="s">
        <v>349</v>
      </c>
      <c r="AN855" t="s">
        <v>1523</v>
      </c>
      <c r="AO855" t="s">
        <v>5241</v>
      </c>
      <c r="AP855" t="s">
        <v>5242</v>
      </c>
      <c r="AQ855" t="s">
        <v>74</v>
      </c>
      <c r="AR855" t="s">
        <v>5243</v>
      </c>
      <c r="AS855" t="s">
        <v>5244</v>
      </c>
      <c r="AT855" t="s">
        <v>12471</v>
      </c>
      <c r="AU855">
        <v>2005</v>
      </c>
      <c r="AV855">
        <v>26</v>
      </c>
      <c r="AW855">
        <v>16</v>
      </c>
      <c r="AX855" t="s">
        <v>74</v>
      </c>
      <c r="AY855" t="s">
        <v>74</v>
      </c>
      <c r="AZ855" t="s">
        <v>74</v>
      </c>
      <c r="BA855" t="s">
        <v>74</v>
      </c>
      <c r="BB855">
        <v>3395</v>
      </c>
      <c r="BC855">
        <v>3412</v>
      </c>
      <c r="BD855" t="s">
        <v>74</v>
      </c>
      <c r="BE855" t="s">
        <v>12904</v>
      </c>
      <c r="BF855" t="str">
        <f>HYPERLINK("http://dx.doi.org/10.1080/01431160500076418","http://dx.doi.org/10.1080/01431160500076418")</f>
        <v>http://dx.doi.org/10.1080/01431160500076418</v>
      </c>
      <c r="BG855" t="s">
        <v>74</v>
      </c>
      <c r="BH855" t="s">
        <v>74</v>
      </c>
      <c r="BI855">
        <v>18</v>
      </c>
      <c r="BJ855" t="s">
        <v>5246</v>
      </c>
      <c r="BK855" t="s">
        <v>98</v>
      </c>
      <c r="BL855" t="s">
        <v>5246</v>
      </c>
      <c r="BM855" t="s">
        <v>12846</v>
      </c>
      <c r="BN855" t="s">
        <v>74</v>
      </c>
      <c r="BO855" t="s">
        <v>74</v>
      </c>
      <c r="BP855" t="s">
        <v>74</v>
      </c>
      <c r="BQ855" t="s">
        <v>74</v>
      </c>
      <c r="BR855" t="s">
        <v>101</v>
      </c>
      <c r="BS855" t="s">
        <v>12905</v>
      </c>
      <c r="BT855" t="str">
        <f>HYPERLINK("https%3A%2F%2Fwww.webofscience.com%2Fwos%2Fwoscc%2Ffull-record%2FWOS:000231953900007","View Full Record in Web of Science")</f>
        <v>View Full Record in Web of Science</v>
      </c>
    </row>
    <row r="856" spans="1:72" x14ac:dyDescent="0.15">
      <c r="A856" t="s">
        <v>72</v>
      </c>
      <c r="B856" t="s">
        <v>12906</v>
      </c>
      <c r="C856" t="s">
        <v>74</v>
      </c>
      <c r="D856" t="s">
        <v>74</v>
      </c>
      <c r="E856" t="s">
        <v>74</v>
      </c>
      <c r="F856" t="s">
        <v>12906</v>
      </c>
      <c r="G856" t="s">
        <v>74</v>
      </c>
      <c r="H856" t="s">
        <v>74</v>
      </c>
      <c r="I856" t="s">
        <v>12907</v>
      </c>
      <c r="J856" t="s">
        <v>5234</v>
      </c>
      <c r="K856" t="s">
        <v>74</v>
      </c>
      <c r="L856" t="s">
        <v>74</v>
      </c>
      <c r="M856" t="s">
        <v>77</v>
      </c>
      <c r="N856" t="s">
        <v>78</v>
      </c>
      <c r="O856" t="s">
        <v>74</v>
      </c>
      <c r="P856" t="s">
        <v>74</v>
      </c>
      <c r="Q856" t="s">
        <v>74</v>
      </c>
      <c r="R856" t="s">
        <v>74</v>
      </c>
      <c r="S856" t="s">
        <v>74</v>
      </c>
      <c r="T856" t="s">
        <v>74</v>
      </c>
      <c r="U856" t="s">
        <v>12908</v>
      </c>
      <c r="V856" t="s">
        <v>12909</v>
      </c>
      <c r="W856" t="s">
        <v>5481</v>
      </c>
      <c r="X856" t="s">
        <v>5482</v>
      </c>
      <c r="Y856" t="s">
        <v>12910</v>
      </c>
      <c r="Z856" t="s">
        <v>12911</v>
      </c>
      <c r="AA856" t="s">
        <v>74</v>
      </c>
      <c r="AB856" t="s">
        <v>74</v>
      </c>
      <c r="AC856" t="s">
        <v>74</v>
      </c>
      <c r="AD856" t="s">
        <v>74</v>
      </c>
      <c r="AE856" t="s">
        <v>74</v>
      </c>
      <c r="AF856" t="s">
        <v>74</v>
      </c>
      <c r="AG856">
        <v>25</v>
      </c>
      <c r="AH856">
        <v>9</v>
      </c>
      <c r="AI856">
        <v>9</v>
      </c>
      <c r="AJ856">
        <v>0</v>
      </c>
      <c r="AK856">
        <v>1</v>
      </c>
      <c r="AL856" t="s">
        <v>348</v>
      </c>
      <c r="AM856" t="s">
        <v>349</v>
      </c>
      <c r="AN856" t="s">
        <v>1523</v>
      </c>
      <c r="AO856" t="s">
        <v>5241</v>
      </c>
      <c r="AP856" t="s">
        <v>5242</v>
      </c>
      <c r="AQ856" t="s">
        <v>74</v>
      </c>
      <c r="AR856" t="s">
        <v>5243</v>
      </c>
      <c r="AS856" t="s">
        <v>5244</v>
      </c>
      <c r="AT856" t="s">
        <v>12471</v>
      </c>
      <c r="AU856">
        <v>2005</v>
      </c>
      <c r="AV856">
        <v>26</v>
      </c>
      <c r="AW856">
        <v>16</v>
      </c>
      <c r="AX856" t="s">
        <v>74</v>
      </c>
      <c r="AY856" t="s">
        <v>74</v>
      </c>
      <c r="AZ856" t="s">
        <v>74</v>
      </c>
      <c r="BA856" t="s">
        <v>74</v>
      </c>
      <c r="BB856">
        <v>3413</v>
      </c>
      <c r="BC856">
        <v>3421</v>
      </c>
      <c r="BD856" t="s">
        <v>74</v>
      </c>
      <c r="BE856" t="s">
        <v>12912</v>
      </c>
      <c r="BF856" t="str">
        <f>HYPERLINK("http://dx.doi.org/10.1080/01431160500076434","http://dx.doi.org/10.1080/01431160500076434")</f>
        <v>http://dx.doi.org/10.1080/01431160500076434</v>
      </c>
      <c r="BG856" t="s">
        <v>74</v>
      </c>
      <c r="BH856" t="s">
        <v>74</v>
      </c>
      <c r="BI856">
        <v>9</v>
      </c>
      <c r="BJ856" t="s">
        <v>5246</v>
      </c>
      <c r="BK856" t="s">
        <v>98</v>
      </c>
      <c r="BL856" t="s">
        <v>5246</v>
      </c>
      <c r="BM856" t="s">
        <v>12846</v>
      </c>
      <c r="BN856" t="s">
        <v>74</v>
      </c>
      <c r="BO856" t="s">
        <v>74</v>
      </c>
      <c r="BP856" t="s">
        <v>74</v>
      </c>
      <c r="BQ856" t="s">
        <v>74</v>
      </c>
      <c r="BR856" t="s">
        <v>101</v>
      </c>
      <c r="BS856" t="s">
        <v>12913</v>
      </c>
      <c r="BT856" t="str">
        <f>HYPERLINK("https%3A%2F%2Fwww.webofscience.com%2Fwos%2Fwoscc%2Ffull-record%2FWOS:000231953900008","View Full Record in Web of Science")</f>
        <v>View Full Record in Web of Science</v>
      </c>
    </row>
    <row r="857" spans="1:72" x14ac:dyDescent="0.15">
      <c r="A857" t="s">
        <v>72</v>
      </c>
      <c r="B857" t="s">
        <v>12914</v>
      </c>
      <c r="C857" t="s">
        <v>74</v>
      </c>
      <c r="D857" t="s">
        <v>74</v>
      </c>
      <c r="E857" t="s">
        <v>74</v>
      </c>
      <c r="F857" t="s">
        <v>12914</v>
      </c>
      <c r="G857" t="s">
        <v>74</v>
      </c>
      <c r="H857" t="s">
        <v>74</v>
      </c>
      <c r="I857" t="s">
        <v>12915</v>
      </c>
      <c r="J857" t="s">
        <v>5234</v>
      </c>
      <c r="K857" t="s">
        <v>74</v>
      </c>
      <c r="L857" t="s">
        <v>74</v>
      </c>
      <c r="M857" t="s">
        <v>77</v>
      </c>
      <c r="N857" t="s">
        <v>78</v>
      </c>
      <c r="O857" t="s">
        <v>74</v>
      </c>
      <c r="P857" t="s">
        <v>74</v>
      </c>
      <c r="Q857" t="s">
        <v>74</v>
      </c>
      <c r="R857" t="s">
        <v>74</v>
      </c>
      <c r="S857" t="s">
        <v>74</v>
      </c>
      <c r="T857" t="s">
        <v>74</v>
      </c>
      <c r="U857" t="s">
        <v>12916</v>
      </c>
      <c r="V857" t="s">
        <v>12917</v>
      </c>
      <c r="W857" t="s">
        <v>12918</v>
      </c>
      <c r="X857" t="s">
        <v>74</v>
      </c>
      <c r="Y857" t="s">
        <v>12919</v>
      </c>
      <c r="Z857" t="s">
        <v>12920</v>
      </c>
      <c r="AA857" t="s">
        <v>12921</v>
      </c>
      <c r="AB857" t="s">
        <v>74</v>
      </c>
      <c r="AC857" t="s">
        <v>74</v>
      </c>
      <c r="AD857" t="s">
        <v>74</v>
      </c>
      <c r="AE857" t="s">
        <v>74</v>
      </c>
      <c r="AF857" t="s">
        <v>74</v>
      </c>
      <c r="AG857">
        <v>45</v>
      </c>
      <c r="AH857">
        <v>5</v>
      </c>
      <c r="AI857">
        <v>6</v>
      </c>
      <c r="AJ857">
        <v>1</v>
      </c>
      <c r="AK857">
        <v>5</v>
      </c>
      <c r="AL857" t="s">
        <v>348</v>
      </c>
      <c r="AM857" t="s">
        <v>349</v>
      </c>
      <c r="AN857" t="s">
        <v>1523</v>
      </c>
      <c r="AO857" t="s">
        <v>5241</v>
      </c>
      <c r="AP857" t="s">
        <v>5242</v>
      </c>
      <c r="AQ857" t="s">
        <v>74</v>
      </c>
      <c r="AR857" t="s">
        <v>5243</v>
      </c>
      <c r="AS857" t="s">
        <v>5244</v>
      </c>
      <c r="AT857" t="s">
        <v>12471</v>
      </c>
      <c r="AU857">
        <v>2005</v>
      </c>
      <c r="AV857">
        <v>26</v>
      </c>
      <c r="AW857">
        <v>16</v>
      </c>
      <c r="AX857" t="s">
        <v>74</v>
      </c>
      <c r="AY857" t="s">
        <v>74</v>
      </c>
      <c r="AZ857" t="s">
        <v>74</v>
      </c>
      <c r="BA857" t="s">
        <v>74</v>
      </c>
      <c r="BB857">
        <v>3467</v>
      </c>
      <c r="BC857">
        <v>3478</v>
      </c>
      <c r="BD857" t="s">
        <v>74</v>
      </c>
      <c r="BE857" t="s">
        <v>12922</v>
      </c>
      <c r="BF857" t="str">
        <f>HYPERLINK("http://dx.doi.org/10.1080/01431160500076541","http://dx.doi.org/10.1080/01431160500076541")</f>
        <v>http://dx.doi.org/10.1080/01431160500076541</v>
      </c>
      <c r="BG857" t="s">
        <v>74</v>
      </c>
      <c r="BH857" t="s">
        <v>74</v>
      </c>
      <c r="BI857">
        <v>12</v>
      </c>
      <c r="BJ857" t="s">
        <v>5246</v>
      </c>
      <c r="BK857" t="s">
        <v>98</v>
      </c>
      <c r="BL857" t="s">
        <v>5246</v>
      </c>
      <c r="BM857" t="s">
        <v>12846</v>
      </c>
      <c r="BN857" t="s">
        <v>74</v>
      </c>
      <c r="BO857" t="s">
        <v>74</v>
      </c>
      <c r="BP857" t="s">
        <v>74</v>
      </c>
      <c r="BQ857" t="s">
        <v>74</v>
      </c>
      <c r="BR857" t="s">
        <v>101</v>
      </c>
      <c r="BS857" t="s">
        <v>12923</v>
      </c>
      <c r="BT857" t="str">
        <f>HYPERLINK("https%3A%2F%2Fwww.webofscience.com%2Fwos%2Fwoscc%2Ffull-record%2FWOS:000231953900014","View Full Record in Web of Science")</f>
        <v>View Full Record in Web of Science</v>
      </c>
    </row>
    <row r="858" spans="1:72" x14ac:dyDescent="0.15">
      <c r="A858" t="s">
        <v>72</v>
      </c>
      <c r="B858" t="s">
        <v>12924</v>
      </c>
      <c r="C858" t="s">
        <v>74</v>
      </c>
      <c r="D858" t="s">
        <v>74</v>
      </c>
      <c r="E858" t="s">
        <v>74</v>
      </c>
      <c r="F858" t="s">
        <v>12924</v>
      </c>
      <c r="G858" t="s">
        <v>74</v>
      </c>
      <c r="H858" t="s">
        <v>74</v>
      </c>
      <c r="I858" t="s">
        <v>12925</v>
      </c>
      <c r="J858" t="s">
        <v>5234</v>
      </c>
      <c r="K858" t="s">
        <v>74</v>
      </c>
      <c r="L858" t="s">
        <v>74</v>
      </c>
      <c r="M858" t="s">
        <v>77</v>
      </c>
      <c r="N858" t="s">
        <v>78</v>
      </c>
      <c r="O858" t="s">
        <v>74</v>
      </c>
      <c r="P858" t="s">
        <v>74</v>
      </c>
      <c r="Q858" t="s">
        <v>74</v>
      </c>
      <c r="R858" t="s">
        <v>74</v>
      </c>
      <c r="S858" t="s">
        <v>74</v>
      </c>
      <c r="T858" t="s">
        <v>74</v>
      </c>
      <c r="U858" t="s">
        <v>12926</v>
      </c>
      <c r="V858" t="s">
        <v>12927</v>
      </c>
      <c r="W858" t="s">
        <v>12928</v>
      </c>
      <c r="X858" t="s">
        <v>12929</v>
      </c>
      <c r="Y858" t="s">
        <v>12930</v>
      </c>
      <c r="Z858" t="s">
        <v>12931</v>
      </c>
      <c r="AA858" t="s">
        <v>12932</v>
      </c>
      <c r="AB858" t="s">
        <v>12933</v>
      </c>
      <c r="AC858" t="s">
        <v>74</v>
      </c>
      <c r="AD858" t="s">
        <v>74</v>
      </c>
      <c r="AE858" t="s">
        <v>74</v>
      </c>
      <c r="AF858" t="s">
        <v>74</v>
      </c>
      <c r="AG858">
        <v>8</v>
      </c>
      <c r="AH858">
        <v>6</v>
      </c>
      <c r="AI858">
        <v>6</v>
      </c>
      <c r="AJ858">
        <v>0</v>
      </c>
      <c r="AK858">
        <v>2</v>
      </c>
      <c r="AL858" t="s">
        <v>348</v>
      </c>
      <c r="AM858" t="s">
        <v>349</v>
      </c>
      <c r="AN858" t="s">
        <v>1523</v>
      </c>
      <c r="AO858" t="s">
        <v>5241</v>
      </c>
      <c r="AP858" t="s">
        <v>5242</v>
      </c>
      <c r="AQ858" t="s">
        <v>74</v>
      </c>
      <c r="AR858" t="s">
        <v>5243</v>
      </c>
      <c r="AS858" t="s">
        <v>5244</v>
      </c>
      <c r="AT858" t="s">
        <v>12471</v>
      </c>
      <c r="AU858">
        <v>2005</v>
      </c>
      <c r="AV858">
        <v>26</v>
      </c>
      <c r="AW858">
        <v>16</v>
      </c>
      <c r="AX858" t="s">
        <v>74</v>
      </c>
      <c r="AY858" t="s">
        <v>74</v>
      </c>
      <c r="AZ858" t="s">
        <v>74</v>
      </c>
      <c r="BA858" t="s">
        <v>74</v>
      </c>
      <c r="BB858">
        <v>3555</v>
      </c>
      <c r="BC858">
        <v>3559</v>
      </c>
      <c r="BD858" t="s">
        <v>74</v>
      </c>
      <c r="BE858" t="s">
        <v>12934</v>
      </c>
      <c r="BF858" t="str">
        <f>HYPERLINK("http://dx.doi.org/10.1080/01431160500076863","http://dx.doi.org/10.1080/01431160500076863")</f>
        <v>http://dx.doi.org/10.1080/01431160500076863</v>
      </c>
      <c r="BG858" t="s">
        <v>74</v>
      </c>
      <c r="BH858" t="s">
        <v>74</v>
      </c>
      <c r="BI858">
        <v>5</v>
      </c>
      <c r="BJ858" t="s">
        <v>5246</v>
      </c>
      <c r="BK858" t="s">
        <v>98</v>
      </c>
      <c r="BL858" t="s">
        <v>5246</v>
      </c>
      <c r="BM858" t="s">
        <v>12846</v>
      </c>
      <c r="BN858" t="s">
        <v>74</v>
      </c>
      <c r="BO858" t="s">
        <v>74</v>
      </c>
      <c r="BP858" t="s">
        <v>74</v>
      </c>
      <c r="BQ858" t="s">
        <v>74</v>
      </c>
      <c r="BR858" t="s">
        <v>101</v>
      </c>
      <c r="BS858" t="s">
        <v>12935</v>
      </c>
      <c r="BT858" t="str">
        <f>HYPERLINK("https%3A%2F%2Fwww.webofscience.com%2Fwos%2Fwoscc%2Ffull-record%2FWOS:000231953900024","View Full Record in Web of Science")</f>
        <v>View Full Record in Web of Science</v>
      </c>
    </row>
    <row r="859" spans="1:72" x14ac:dyDescent="0.15">
      <c r="A859" t="s">
        <v>72</v>
      </c>
      <c r="B859" t="s">
        <v>12936</v>
      </c>
      <c r="C859" t="s">
        <v>74</v>
      </c>
      <c r="D859" t="s">
        <v>74</v>
      </c>
      <c r="E859" t="s">
        <v>74</v>
      </c>
      <c r="F859" t="s">
        <v>12936</v>
      </c>
      <c r="G859" t="s">
        <v>74</v>
      </c>
      <c r="H859" t="s">
        <v>74</v>
      </c>
      <c r="I859" t="s">
        <v>12937</v>
      </c>
      <c r="J859" t="s">
        <v>5234</v>
      </c>
      <c r="K859" t="s">
        <v>74</v>
      </c>
      <c r="L859" t="s">
        <v>74</v>
      </c>
      <c r="M859" t="s">
        <v>77</v>
      </c>
      <c r="N859" t="s">
        <v>78</v>
      </c>
      <c r="O859" t="s">
        <v>74</v>
      </c>
      <c r="P859" t="s">
        <v>74</v>
      </c>
      <c r="Q859" t="s">
        <v>74</v>
      </c>
      <c r="R859" t="s">
        <v>74</v>
      </c>
      <c r="S859" t="s">
        <v>74</v>
      </c>
      <c r="T859" t="s">
        <v>74</v>
      </c>
      <c r="U859" t="s">
        <v>12938</v>
      </c>
      <c r="V859" t="s">
        <v>12939</v>
      </c>
      <c r="W859" t="s">
        <v>12841</v>
      </c>
      <c r="X859" t="s">
        <v>6158</v>
      </c>
      <c r="Y859" t="s">
        <v>12940</v>
      </c>
      <c r="Z859" t="s">
        <v>12941</v>
      </c>
      <c r="AA859" t="s">
        <v>12942</v>
      </c>
      <c r="AB859" t="s">
        <v>12943</v>
      </c>
      <c r="AC859" t="s">
        <v>74</v>
      </c>
      <c r="AD859" t="s">
        <v>74</v>
      </c>
      <c r="AE859" t="s">
        <v>74</v>
      </c>
      <c r="AF859" t="s">
        <v>74</v>
      </c>
      <c r="AG859">
        <v>10</v>
      </c>
      <c r="AH859">
        <v>0</v>
      </c>
      <c r="AI859">
        <v>0</v>
      </c>
      <c r="AJ859">
        <v>0</v>
      </c>
      <c r="AK859">
        <v>0</v>
      </c>
      <c r="AL859" t="s">
        <v>348</v>
      </c>
      <c r="AM859" t="s">
        <v>349</v>
      </c>
      <c r="AN859" t="s">
        <v>1523</v>
      </c>
      <c r="AO859" t="s">
        <v>5241</v>
      </c>
      <c r="AP859" t="s">
        <v>5242</v>
      </c>
      <c r="AQ859" t="s">
        <v>74</v>
      </c>
      <c r="AR859" t="s">
        <v>5243</v>
      </c>
      <c r="AS859" t="s">
        <v>5244</v>
      </c>
      <c r="AT859" t="s">
        <v>12471</v>
      </c>
      <c r="AU859">
        <v>2005</v>
      </c>
      <c r="AV859">
        <v>26</v>
      </c>
      <c r="AW859">
        <v>16</v>
      </c>
      <c r="AX859" t="s">
        <v>74</v>
      </c>
      <c r="AY859" t="s">
        <v>74</v>
      </c>
      <c r="AZ859" t="s">
        <v>74</v>
      </c>
      <c r="BA859" t="s">
        <v>74</v>
      </c>
      <c r="BB859">
        <v>3597</v>
      </c>
      <c r="BC859">
        <v>3603</v>
      </c>
      <c r="BD859" t="s">
        <v>74</v>
      </c>
      <c r="BE859" t="s">
        <v>12944</v>
      </c>
      <c r="BF859" t="str">
        <f>HYPERLINK("http://dx.doi.org/10.1080/01431160500076962","http://dx.doi.org/10.1080/01431160500076962")</f>
        <v>http://dx.doi.org/10.1080/01431160500076962</v>
      </c>
      <c r="BG859" t="s">
        <v>74</v>
      </c>
      <c r="BH859" t="s">
        <v>74</v>
      </c>
      <c r="BI859">
        <v>7</v>
      </c>
      <c r="BJ859" t="s">
        <v>5246</v>
      </c>
      <c r="BK859" t="s">
        <v>98</v>
      </c>
      <c r="BL859" t="s">
        <v>5246</v>
      </c>
      <c r="BM859" t="s">
        <v>12846</v>
      </c>
      <c r="BN859" t="s">
        <v>74</v>
      </c>
      <c r="BO859" t="s">
        <v>74</v>
      </c>
      <c r="BP859" t="s">
        <v>74</v>
      </c>
      <c r="BQ859" t="s">
        <v>74</v>
      </c>
      <c r="BR859" t="s">
        <v>101</v>
      </c>
      <c r="BS859" t="s">
        <v>12945</v>
      </c>
      <c r="BT859" t="str">
        <f>HYPERLINK("https%3A%2F%2Fwww.webofscience.com%2Fwos%2Fwoscc%2Ffull-record%2FWOS:000231953900028","View Full Record in Web of Science")</f>
        <v>View Full Record in Web of Science</v>
      </c>
    </row>
    <row r="860" spans="1:72" x14ac:dyDescent="0.15">
      <c r="A860" t="s">
        <v>72</v>
      </c>
      <c r="B860" t="s">
        <v>12946</v>
      </c>
      <c r="C860" t="s">
        <v>74</v>
      </c>
      <c r="D860" t="s">
        <v>74</v>
      </c>
      <c r="E860" t="s">
        <v>74</v>
      </c>
      <c r="F860" t="s">
        <v>12946</v>
      </c>
      <c r="G860" t="s">
        <v>74</v>
      </c>
      <c r="H860" t="s">
        <v>74</v>
      </c>
      <c r="I860" t="s">
        <v>12947</v>
      </c>
      <c r="J860" t="s">
        <v>8800</v>
      </c>
      <c r="K860" t="s">
        <v>74</v>
      </c>
      <c r="L860" t="s">
        <v>74</v>
      </c>
      <c r="M860" t="s">
        <v>77</v>
      </c>
      <c r="N860" t="s">
        <v>78</v>
      </c>
      <c r="O860" t="s">
        <v>74</v>
      </c>
      <c r="P860" t="s">
        <v>74</v>
      </c>
      <c r="Q860" t="s">
        <v>74</v>
      </c>
      <c r="R860" t="s">
        <v>74</v>
      </c>
      <c r="S860" t="s">
        <v>74</v>
      </c>
      <c r="T860" t="s">
        <v>74</v>
      </c>
      <c r="U860" t="s">
        <v>12948</v>
      </c>
      <c r="V860" t="s">
        <v>12949</v>
      </c>
      <c r="W860" t="s">
        <v>12950</v>
      </c>
      <c r="X860" t="s">
        <v>261</v>
      </c>
      <c r="Y860" t="s">
        <v>12156</v>
      </c>
      <c r="Z860" t="s">
        <v>12951</v>
      </c>
      <c r="AA860" t="s">
        <v>74</v>
      </c>
      <c r="AB860" t="s">
        <v>12952</v>
      </c>
      <c r="AC860" t="s">
        <v>74</v>
      </c>
      <c r="AD860" t="s">
        <v>74</v>
      </c>
      <c r="AE860" t="s">
        <v>74</v>
      </c>
      <c r="AF860" t="s">
        <v>74</v>
      </c>
      <c r="AG860">
        <v>30</v>
      </c>
      <c r="AH860">
        <v>96</v>
      </c>
      <c r="AI860">
        <v>106</v>
      </c>
      <c r="AJ860">
        <v>0</v>
      </c>
      <c r="AK860">
        <v>14</v>
      </c>
      <c r="AL860" t="s">
        <v>6583</v>
      </c>
      <c r="AM860" t="s">
        <v>6584</v>
      </c>
      <c r="AN860" t="s">
        <v>6585</v>
      </c>
      <c r="AO860" t="s">
        <v>8807</v>
      </c>
      <c r="AP860" t="s">
        <v>8808</v>
      </c>
      <c r="AQ860" t="s">
        <v>74</v>
      </c>
      <c r="AR860" t="s">
        <v>8809</v>
      </c>
      <c r="AS860" t="s">
        <v>8810</v>
      </c>
      <c r="AT860" t="s">
        <v>12787</v>
      </c>
      <c r="AU860">
        <v>2005</v>
      </c>
      <c r="AV860">
        <v>18</v>
      </c>
      <c r="AW860">
        <v>15</v>
      </c>
      <c r="AX860" t="s">
        <v>74</v>
      </c>
      <c r="AY860" t="s">
        <v>74</v>
      </c>
      <c r="AZ860" t="s">
        <v>74</v>
      </c>
      <c r="BA860" t="s">
        <v>74</v>
      </c>
      <c r="BB860">
        <v>2864</v>
      </c>
      <c r="BC860">
        <v>2882</v>
      </c>
      <c r="BD860" t="s">
        <v>74</v>
      </c>
      <c r="BE860" t="s">
        <v>12953</v>
      </c>
      <c r="BF860" t="str">
        <f>HYPERLINK("http://dx.doi.org/10.1175/JCLI3422.1","http://dx.doi.org/10.1175/JCLI3422.1")</f>
        <v>http://dx.doi.org/10.1175/JCLI3422.1</v>
      </c>
      <c r="BG860" t="s">
        <v>74</v>
      </c>
      <c r="BH860" t="s">
        <v>74</v>
      </c>
      <c r="BI860">
        <v>19</v>
      </c>
      <c r="BJ860" t="s">
        <v>2033</v>
      </c>
      <c r="BK860" t="s">
        <v>98</v>
      </c>
      <c r="BL860" t="s">
        <v>2033</v>
      </c>
      <c r="BM860" t="s">
        <v>12954</v>
      </c>
      <c r="BN860" t="s">
        <v>74</v>
      </c>
      <c r="BO860" t="s">
        <v>1132</v>
      </c>
      <c r="BP860" t="s">
        <v>74</v>
      </c>
      <c r="BQ860" t="s">
        <v>74</v>
      </c>
      <c r="BR860" t="s">
        <v>101</v>
      </c>
      <c r="BS860" t="s">
        <v>12955</v>
      </c>
      <c r="BT860" t="str">
        <f>HYPERLINK("https%3A%2F%2Fwww.webofscience.com%2Fwos%2Fwoscc%2Ffull-record%2FWOS:000231738300005","View Full Record in Web of Science")</f>
        <v>View Full Record in Web of Science</v>
      </c>
    </row>
    <row r="861" spans="1:72" x14ac:dyDescent="0.15">
      <c r="A861" t="s">
        <v>72</v>
      </c>
      <c r="B861" t="s">
        <v>12956</v>
      </c>
      <c r="C861" t="s">
        <v>74</v>
      </c>
      <c r="D861" t="s">
        <v>74</v>
      </c>
      <c r="E861" t="s">
        <v>74</v>
      </c>
      <c r="F861" t="s">
        <v>12956</v>
      </c>
      <c r="G861" t="s">
        <v>74</v>
      </c>
      <c r="H861" t="s">
        <v>74</v>
      </c>
      <c r="I861" t="s">
        <v>12957</v>
      </c>
      <c r="J861" t="s">
        <v>8800</v>
      </c>
      <c r="K861" t="s">
        <v>74</v>
      </c>
      <c r="L861" t="s">
        <v>74</v>
      </c>
      <c r="M861" t="s">
        <v>77</v>
      </c>
      <c r="N861" t="s">
        <v>78</v>
      </c>
      <c r="O861" t="s">
        <v>74</v>
      </c>
      <c r="P861" t="s">
        <v>74</v>
      </c>
      <c r="Q861" t="s">
        <v>74</v>
      </c>
      <c r="R861" t="s">
        <v>74</v>
      </c>
      <c r="S861" t="s">
        <v>74</v>
      </c>
      <c r="T861" t="s">
        <v>74</v>
      </c>
      <c r="U861" t="s">
        <v>12958</v>
      </c>
      <c r="V861" t="s">
        <v>12959</v>
      </c>
      <c r="W861" t="s">
        <v>12960</v>
      </c>
      <c r="X861" t="s">
        <v>12961</v>
      </c>
      <c r="Y861" t="s">
        <v>12962</v>
      </c>
      <c r="Z861" t="s">
        <v>12963</v>
      </c>
      <c r="AA861" t="s">
        <v>74</v>
      </c>
      <c r="AB861" t="s">
        <v>74</v>
      </c>
      <c r="AC861" t="s">
        <v>74</v>
      </c>
      <c r="AD861" t="s">
        <v>74</v>
      </c>
      <c r="AE861" t="s">
        <v>74</v>
      </c>
      <c r="AF861" t="s">
        <v>74</v>
      </c>
      <c r="AG861">
        <v>23</v>
      </c>
      <c r="AH861">
        <v>39</v>
      </c>
      <c r="AI861">
        <v>46</v>
      </c>
      <c r="AJ861">
        <v>3</v>
      </c>
      <c r="AK861">
        <v>21</v>
      </c>
      <c r="AL861" t="s">
        <v>6583</v>
      </c>
      <c r="AM861" t="s">
        <v>6584</v>
      </c>
      <c r="AN861" t="s">
        <v>6585</v>
      </c>
      <c r="AO861" t="s">
        <v>8807</v>
      </c>
      <c r="AP861" t="s">
        <v>8808</v>
      </c>
      <c r="AQ861" t="s">
        <v>74</v>
      </c>
      <c r="AR861" t="s">
        <v>8809</v>
      </c>
      <c r="AS861" t="s">
        <v>8810</v>
      </c>
      <c r="AT861" t="s">
        <v>12787</v>
      </c>
      <c r="AU861">
        <v>2005</v>
      </c>
      <c r="AV861">
        <v>18</v>
      </c>
      <c r="AW861">
        <v>15</v>
      </c>
      <c r="AX861" t="s">
        <v>74</v>
      </c>
      <c r="AY861" t="s">
        <v>74</v>
      </c>
      <c r="AZ861" t="s">
        <v>74</v>
      </c>
      <c r="BA861" t="s">
        <v>74</v>
      </c>
      <c r="BB861">
        <v>3068</v>
      </c>
      <c r="BC861">
        <v>3073</v>
      </c>
      <c r="BD861" t="s">
        <v>74</v>
      </c>
      <c r="BE861" t="s">
        <v>12964</v>
      </c>
      <c r="BF861" t="str">
        <f>HYPERLINK("http://dx.doi.org/10.1175/JCLI3447.1","http://dx.doi.org/10.1175/JCLI3447.1")</f>
        <v>http://dx.doi.org/10.1175/JCLI3447.1</v>
      </c>
      <c r="BG861" t="s">
        <v>74</v>
      </c>
      <c r="BH861" t="s">
        <v>74</v>
      </c>
      <c r="BI861">
        <v>6</v>
      </c>
      <c r="BJ861" t="s">
        <v>2033</v>
      </c>
      <c r="BK861" t="s">
        <v>98</v>
      </c>
      <c r="BL861" t="s">
        <v>2033</v>
      </c>
      <c r="BM861" t="s">
        <v>12954</v>
      </c>
      <c r="BN861" t="s">
        <v>74</v>
      </c>
      <c r="BO861" t="s">
        <v>1900</v>
      </c>
      <c r="BP861" t="s">
        <v>74</v>
      </c>
      <c r="BQ861" t="s">
        <v>74</v>
      </c>
      <c r="BR861" t="s">
        <v>101</v>
      </c>
      <c r="BS861" t="s">
        <v>12965</v>
      </c>
      <c r="BT861" t="str">
        <f>HYPERLINK("https%3A%2F%2Fwww.webofscience.com%2Fwos%2Fwoscc%2Ffull-record%2FWOS:000231738300017","View Full Record in Web of Science")</f>
        <v>View Full Record in Web of Science</v>
      </c>
    </row>
    <row r="862" spans="1:72" x14ac:dyDescent="0.15">
      <c r="A862" t="s">
        <v>72</v>
      </c>
      <c r="B862" t="s">
        <v>12966</v>
      </c>
      <c r="C862" t="s">
        <v>74</v>
      </c>
      <c r="D862" t="s">
        <v>74</v>
      </c>
      <c r="E862" t="s">
        <v>74</v>
      </c>
      <c r="F862" t="s">
        <v>12966</v>
      </c>
      <c r="G862" t="s">
        <v>74</v>
      </c>
      <c r="H862" t="s">
        <v>74</v>
      </c>
      <c r="I862" t="s">
        <v>12967</v>
      </c>
      <c r="J862" t="s">
        <v>8800</v>
      </c>
      <c r="K862" t="s">
        <v>74</v>
      </c>
      <c r="L862" t="s">
        <v>74</v>
      </c>
      <c r="M862" t="s">
        <v>77</v>
      </c>
      <c r="N862" t="s">
        <v>78</v>
      </c>
      <c r="O862" t="s">
        <v>74</v>
      </c>
      <c r="P862" t="s">
        <v>74</v>
      </c>
      <c r="Q862" t="s">
        <v>74</v>
      </c>
      <c r="R862" t="s">
        <v>74</v>
      </c>
      <c r="S862" t="s">
        <v>74</v>
      </c>
      <c r="T862" t="s">
        <v>74</v>
      </c>
      <c r="U862" t="s">
        <v>12968</v>
      </c>
      <c r="V862" t="s">
        <v>12969</v>
      </c>
      <c r="W862" t="s">
        <v>12970</v>
      </c>
      <c r="X862" t="s">
        <v>1738</v>
      </c>
      <c r="Y862" t="s">
        <v>12971</v>
      </c>
      <c r="Z862" t="s">
        <v>12972</v>
      </c>
      <c r="AA862" t="s">
        <v>12973</v>
      </c>
      <c r="AB862" t="s">
        <v>12974</v>
      </c>
      <c r="AC862" t="s">
        <v>74</v>
      </c>
      <c r="AD862" t="s">
        <v>74</v>
      </c>
      <c r="AE862" t="s">
        <v>74</v>
      </c>
      <c r="AF862" t="s">
        <v>74</v>
      </c>
      <c r="AG862">
        <v>26</v>
      </c>
      <c r="AH862">
        <v>3</v>
      </c>
      <c r="AI862">
        <v>3</v>
      </c>
      <c r="AJ862">
        <v>0</v>
      </c>
      <c r="AK862">
        <v>3</v>
      </c>
      <c r="AL862" t="s">
        <v>6583</v>
      </c>
      <c r="AM862" t="s">
        <v>6584</v>
      </c>
      <c r="AN862" t="s">
        <v>6585</v>
      </c>
      <c r="AO862" t="s">
        <v>8807</v>
      </c>
      <c r="AP862" t="s">
        <v>8808</v>
      </c>
      <c r="AQ862" t="s">
        <v>74</v>
      </c>
      <c r="AR862" t="s">
        <v>8809</v>
      </c>
      <c r="AS862" t="s">
        <v>8810</v>
      </c>
      <c r="AT862" t="s">
        <v>12787</v>
      </c>
      <c r="AU862">
        <v>2005</v>
      </c>
      <c r="AV862">
        <v>18</v>
      </c>
      <c r="AW862">
        <v>15</v>
      </c>
      <c r="AX862" t="s">
        <v>74</v>
      </c>
      <c r="AY862" t="s">
        <v>74</v>
      </c>
      <c r="AZ862" t="s">
        <v>74</v>
      </c>
      <c r="BA862" t="s">
        <v>74</v>
      </c>
      <c r="BB862">
        <v>3074</v>
      </c>
      <c r="BC862">
        <v>3083</v>
      </c>
      <c r="BD862" t="s">
        <v>74</v>
      </c>
      <c r="BE862" t="s">
        <v>12975</v>
      </c>
      <c r="BF862" t="str">
        <f>HYPERLINK("http://dx.doi.org/10.1175/JCLI3453.1","http://dx.doi.org/10.1175/JCLI3453.1")</f>
        <v>http://dx.doi.org/10.1175/JCLI3453.1</v>
      </c>
      <c r="BG862" t="s">
        <v>74</v>
      </c>
      <c r="BH862" t="s">
        <v>74</v>
      </c>
      <c r="BI862">
        <v>10</v>
      </c>
      <c r="BJ862" t="s">
        <v>2033</v>
      </c>
      <c r="BK862" t="s">
        <v>98</v>
      </c>
      <c r="BL862" t="s">
        <v>2033</v>
      </c>
      <c r="BM862" t="s">
        <v>12954</v>
      </c>
      <c r="BN862" t="s">
        <v>74</v>
      </c>
      <c r="BO862" t="s">
        <v>1900</v>
      </c>
      <c r="BP862" t="s">
        <v>74</v>
      </c>
      <c r="BQ862" t="s">
        <v>74</v>
      </c>
      <c r="BR862" t="s">
        <v>101</v>
      </c>
      <c r="BS862" t="s">
        <v>12976</v>
      </c>
      <c r="BT862" t="str">
        <f>HYPERLINK("https%3A%2F%2Fwww.webofscience.com%2Fwos%2Fwoscc%2Ffull-record%2FWOS:000231738300018","View Full Record in Web of Science")</f>
        <v>View Full Record in Web of Science</v>
      </c>
    </row>
    <row r="863" spans="1:72" x14ac:dyDescent="0.15">
      <c r="A863" t="s">
        <v>72</v>
      </c>
      <c r="B863" t="s">
        <v>12977</v>
      </c>
      <c r="C863" t="s">
        <v>74</v>
      </c>
      <c r="D863" t="s">
        <v>74</v>
      </c>
      <c r="E863" t="s">
        <v>74</v>
      </c>
      <c r="F863" t="s">
        <v>12977</v>
      </c>
      <c r="G863" t="s">
        <v>74</v>
      </c>
      <c r="H863" t="s">
        <v>74</v>
      </c>
      <c r="I863" t="s">
        <v>12978</v>
      </c>
      <c r="J863" t="s">
        <v>11510</v>
      </c>
      <c r="K863" t="s">
        <v>74</v>
      </c>
      <c r="L863" t="s">
        <v>74</v>
      </c>
      <c r="M863" t="s">
        <v>77</v>
      </c>
      <c r="N863" t="s">
        <v>78</v>
      </c>
      <c r="O863" t="s">
        <v>74</v>
      </c>
      <c r="P863" t="s">
        <v>74</v>
      </c>
      <c r="Q863" t="s">
        <v>74</v>
      </c>
      <c r="R863" t="s">
        <v>74</v>
      </c>
      <c r="S863" t="s">
        <v>74</v>
      </c>
      <c r="T863" t="s">
        <v>12979</v>
      </c>
      <c r="U863" t="s">
        <v>12980</v>
      </c>
      <c r="V863" t="s">
        <v>12981</v>
      </c>
      <c r="W863" t="s">
        <v>12982</v>
      </c>
      <c r="X863" t="s">
        <v>12983</v>
      </c>
      <c r="Y863" t="s">
        <v>12984</v>
      </c>
      <c r="Z863" t="s">
        <v>12985</v>
      </c>
      <c r="AA863" t="s">
        <v>74</v>
      </c>
      <c r="AB863" t="s">
        <v>74</v>
      </c>
      <c r="AC863" t="s">
        <v>74</v>
      </c>
      <c r="AD863" t="s">
        <v>74</v>
      </c>
      <c r="AE863" t="s">
        <v>74</v>
      </c>
      <c r="AF863" t="s">
        <v>74</v>
      </c>
      <c r="AG863">
        <v>50</v>
      </c>
      <c r="AH863">
        <v>24</v>
      </c>
      <c r="AI863">
        <v>31</v>
      </c>
      <c r="AJ863">
        <v>0</v>
      </c>
      <c r="AK863">
        <v>12</v>
      </c>
      <c r="AL863" t="s">
        <v>12986</v>
      </c>
      <c r="AM863" t="s">
        <v>2111</v>
      </c>
      <c r="AN863" t="s">
        <v>12987</v>
      </c>
      <c r="AO863" t="s">
        <v>11521</v>
      </c>
      <c r="AP863" t="s">
        <v>74</v>
      </c>
      <c r="AQ863" t="s">
        <v>74</v>
      </c>
      <c r="AR863" t="s">
        <v>11523</v>
      </c>
      <c r="AS863" t="s">
        <v>11524</v>
      </c>
      <c r="AT863" t="s">
        <v>12471</v>
      </c>
      <c r="AU863">
        <v>2005</v>
      </c>
      <c r="AV863">
        <v>208</v>
      </c>
      <c r="AW863">
        <v>15</v>
      </c>
      <c r="AX863" t="s">
        <v>74</v>
      </c>
      <c r="AY863" t="s">
        <v>74</v>
      </c>
      <c r="AZ863" t="s">
        <v>74</v>
      </c>
      <c r="BA863" t="s">
        <v>74</v>
      </c>
      <c r="BB863">
        <v>2939</v>
      </c>
      <c r="BC863">
        <v>2949</v>
      </c>
      <c r="BD863" t="s">
        <v>74</v>
      </c>
      <c r="BE863" t="s">
        <v>12988</v>
      </c>
      <c r="BF863" t="str">
        <f>HYPERLINK("http://dx.doi.org/10.1242/jeb.01733","http://dx.doi.org/10.1242/jeb.01733")</f>
        <v>http://dx.doi.org/10.1242/jeb.01733</v>
      </c>
      <c r="BG863" t="s">
        <v>74</v>
      </c>
      <c r="BH863" t="s">
        <v>74</v>
      </c>
      <c r="BI863">
        <v>11</v>
      </c>
      <c r="BJ863" t="s">
        <v>5207</v>
      </c>
      <c r="BK863" t="s">
        <v>98</v>
      </c>
      <c r="BL863" t="s">
        <v>5208</v>
      </c>
      <c r="BM863" t="s">
        <v>12989</v>
      </c>
      <c r="BN863">
        <v>16043599</v>
      </c>
      <c r="BO863" t="s">
        <v>74</v>
      </c>
      <c r="BP863" t="s">
        <v>74</v>
      </c>
      <c r="BQ863" t="s">
        <v>74</v>
      </c>
      <c r="BR863" t="s">
        <v>101</v>
      </c>
      <c r="BS863" t="s">
        <v>12990</v>
      </c>
      <c r="BT863" t="str">
        <f>HYPERLINK("https%3A%2F%2Fwww.webofscience.com%2Fwos%2Fwoscc%2Ffull-record%2FWOS:000231575800023","View Full Record in Web of Science")</f>
        <v>View Full Record in Web of Science</v>
      </c>
    </row>
    <row r="864" spans="1:72" x14ac:dyDescent="0.15">
      <c r="A864" t="s">
        <v>72</v>
      </c>
      <c r="B864" t="s">
        <v>12991</v>
      </c>
      <c r="C864" t="s">
        <v>74</v>
      </c>
      <c r="D864" t="s">
        <v>74</v>
      </c>
      <c r="E864" t="s">
        <v>74</v>
      </c>
      <c r="F864" t="s">
        <v>12991</v>
      </c>
      <c r="G864" t="s">
        <v>74</v>
      </c>
      <c r="H864" t="s">
        <v>74</v>
      </c>
      <c r="I864" t="s">
        <v>12992</v>
      </c>
      <c r="J864" t="s">
        <v>12993</v>
      </c>
      <c r="K864" t="s">
        <v>74</v>
      </c>
      <c r="L864" t="s">
        <v>74</v>
      </c>
      <c r="M864" t="s">
        <v>77</v>
      </c>
      <c r="N864" t="s">
        <v>78</v>
      </c>
      <c r="O864" t="s">
        <v>74</v>
      </c>
      <c r="P864" t="s">
        <v>74</v>
      </c>
      <c r="Q864" t="s">
        <v>74</v>
      </c>
      <c r="R864" t="s">
        <v>74</v>
      </c>
      <c r="S864" t="s">
        <v>74</v>
      </c>
      <c r="T864" t="s">
        <v>12994</v>
      </c>
      <c r="U864" t="s">
        <v>12995</v>
      </c>
      <c r="V864" t="s">
        <v>12996</v>
      </c>
      <c r="W864" t="s">
        <v>12997</v>
      </c>
      <c r="X864" t="s">
        <v>12998</v>
      </c>
      <c r="Y864" t="s">
        <v>12999</v>
      </c>
      <c r="Z864" t="s">
        <v>13000</v>
      </c>
      <c r="AA864" t="s">
        <v>13001</v>
      </c>
      <c r="AB864" t="s">
        <v>74</v>
      </c>
      <c r="AC864" t="s">
        <v>74</v>
      </c>
      <c r="AD864" t="s">
        <v>74</v>
      </c>
      <c r="AE864" t="s">
        <v>74</v>
      </c>
      <c r="AF864" t="s">
        <v>74</v>
      </c>
      <c r="AG864">
        <v>33</v>
      </c>
      <c r="AH864">
        <v>8</v>
      </c>
      <c r="AI864">
        <v>8</v>
      </c>
      <c r="AJ864">
        <v>0</v>
      </c>
      <c r="AK864">
        <v>5</v>
      </c>
      <c r="AL864" t="s">
        <v>88</v>
      </c>
      <c r="AM864" t="s">
        <v>89</v>
      </c>
      <c r="AN864" t="s">
        <v>90</v>
      </c>
      <c r="AO864" t="s">
        <v>13002</v>
      </c>
      <c r="AP864" t="s">
        <v>13003</v>
      </c>
      <c r="AQ864" t="s">
        <v>74</v>
      </c>
      <c r="AR864" t="s">
        <v>13004</v>
      </c>
      <c r="AS864" t="s">
        <v>13005</v>
      </c>
      <c r="AT864" t="s">
        <v>12471</v>
      </c>
      <c r="AU864">
        <v>2005</v>
      </c>
      <c r="AV864">
        <v>79</v>
      </c>
      <c r="AW864" t="s">
        <v>10501</v>
      </c>
      <c r="AX864" t="s">
        <v>74</v>
      </c>
      <c r="AY864" t="s">
        <v>74</v>
      </c>
      <c r="AZ864" t="s">
        <v>74</v>
      </c>
      <c r="BA864" t="s">
        <v>74</v>
      </c>
      <c r="BB864">
        <v>379</v>
      </c>
      <c r="BC864">
        <v>388</v>
      </c>
      <c r="BD864" t="s">
        <v>74</v>
      </c>
      <c r="BE864" t="s">
        <v>13006</v>
      </c>
      <c r="BF864" t="str">
        <f>HYPERLINK("http://dx.doi.org/10.1007/s00190-005-0476-8","http://dx.doi.org/10.1007/s00190-005-0476-8")</f>
        <v>http://dx.doi.org/10.1007/s00190-005-0476-8</v>
      </c>
      <c r="BG864" t="s">
        <v>74</v>
      </c>
      <c r="BH864" t="s">
        <v>74</v>
      </c>
      <c r="BI864">
        <v>10</v>
      </c>
      <c r="BJ864" t="s">
        <v>13007</v>
      </c>
      <c r="BK864" t="s">
        <v>98</v>
      </c>
      <c r="BL864" t="s">
        <v>13007</v>
      </c>
      <c r="BM864" t="s">
        <v>13008</v>
      </c>
      <c r="BN864" t="s">
        <v>74</v>
      </c>
      <c r="BO864" t="s">
        <v>74</v>
      </c>
      <c r="BP864" t="s">
        <v>74</v>
      </c>
      <c r="BQ864" t="s">
        <v>74</v>
      </c>
      <c r="BR864" t="s">
        <v>101</v>
      </c>
      <c r="BS864" t="s">
        <v>13009</v>
      </c>
      <c r="BT864" t="str">
        <f>HYPERLINK("https%3A%2F%2Fwww.webofscience.com%2Fwos%2Fwoscc%2Ffull-record%2FWOS:000232016000008","View Full Record in Web of Science")</f>
        <v>View Full Record in Web of Science</v>
      </c>
    </row>
    <row r="865" spans="1:72" x14ac:dyDescent="0.15">
      <c r="A865" t="s">
        <v>72</v>
      </c>
      <c r="B865" t="s">
        <v>13010</v>
      </c>
      <c r="C865" t="s">
        <v>74</v>
      </c>
      <c r="D865" t="s">
        <v>74</v>
      </c>
      <c r="E865" t="s">
        <v>74</v>
      </c>
      <c r="F865" t="s">
        <v>13010</v>
      </c>
      <c r="G865" t="s">
        <v>74</v>
      </c>
      <c r="H865" t="s">
        <v>74</v>
      </c>
      <c r="I865" t="s">
        <v>13011</v>
      </c>
      <c r="J865" t="s">
        <v>2389</v>
      </c>
      <c r="K865" t="s">
        <v>74</v>
      </c>
      <c r="L865" t="s">
        <v>74</v>
      </c>
      <c r="M865" t="s">
        <v>77</v>
      </c>
      <c r="N865" t="s">
        <v>78</v>
      </c>
      <c r="O865" t="s">
        <v>74</v>
      </c>
      <c r="P865" t="s">
        <v>74</v>
      </c>
      <c r="Q865" t="s">
        <v>74</v>
      </c>
      <c r="R865" t="s">
        <v>74</v>
      </c>
      <c r="S865" t="s">
        <v>74</v>
      </c>
      <c r="T865" t="s">
        <v>13012</v>
      </c>
      <c r="U865" t="s">
        <v>13013</v>
      </c>
      <c r="V865" t="s">
        <v>13014</v>
      </c>
      <c r="W865" t="s">
        <v>801</v>
      </c>
      <c r="X865" t="s">
        <v>788</v>
      </c>
      <c r="Y865" t="s">
        <v>3055</v>
      </c>
      <c r="Z865" t="s">
        <v>13015</v>
      </c>
      <c r="AA865" t="s">
        <v>74</v>
      </c>
      <c r="AB865" t="s">
        <v>74</v>
      </c>
      <c r="AC865" t="s">
        <v>74</v>
      </c>
      <c r="AD865" t="s">
        <v>74</v>
      </c>
      <c r="AE865" t="s">
        <v>74</v>
      </c>
      <c r="AF865" t="s">
        <v>74</v>
      </c>
      <c r="AG865">
        <v>39</v>
      </c>
      <c r="AH865">
        <v>55</v>
      </c>
      <c r="AI865">
        <v>63</v>
      </c>
      <c r="AJ865">
        <v>0</v>
      </c>
      <c r="AK865">
        <v>14</v>
      </c>
      <c r="AL865" t="s">
        <v>622</v>
      </c>
      <c r="AM865" t="s">
        <v>140</v>
      </c>
      <c r="AN865" t="s">
        <v>623</v>
      </c>
      <c r="AO865" t="s">
        <v>2399</v>
      </c>
      <c r="AP865" t="s">
        <v>2400</v>
      </c>
      <c r="AQ865" t="s">
        <v>74</v>
      </c>
      <c r="AR865" t="s">
        <v>2401</v>
      </c>
      <c r="AS865" t="s">
        <v>2402</v>
      </c>
      <c r="AT865" t="s">
        <v>12471</v>
      </c>
      <c r="AU865">
        <v>2005</v>
      </c>
      <c r="AV865">
        <v>51</v>
      </c>
      <c r="AW865">
        <v>8</v>
      </c>
      <c r="AX865" t="s">
        <v>74</v>
      </c>
      <c r="AY865" t="s">
        <v>74</v>
      </c>
      <c r="AZ865" t="s">
        <v>74</v>
      </c>
      <c r="BA865" t="s">
        <v>74</v>
      </c>
      <c r="BB865">
        <v>881</v>
      </c>
      <c r="BC865">
        <v>894</v>
      </c>
      <c r="BD865" t="s">
        <v>74</v>
      </c>
      <c r="BE865" t="s">
        <v>13016</v>
      </c>
      <c r="BF865" t="str">
        <f>HYPERLINK("http://dx.doi.org/10.1016/j.jinsphys.2005.04.004","http://dx.doi.org/10.1016/j.jinsphys.2005.04.004")</f>
        <v>http://dx.doi.org/10.1016/j.jinsphys.2005.04.004</v>
      </c>
      <c r="BG865" t="s">
        <v>74</v>
      </c>
      <c r="BH865" t="s">
        <v>74</v>
      </c>
      <c r="BI865">
        <v>14</v>
      </c>
      <c r="BJ865" t="s">
        <v>2404</v>
      </c>
      <c r="BK865" t="s">
        <v>98</v>
      </c>
      <c r="BL865" t="s">
        <v>2404</v>
      </c>
      <c r="BM865" t="s">
        <v>13017</v>
      </c>
      <c r="BN865">
        <v>15936029</v>
      </c>
      <c r="BO865" t="s">
        <v>74</v>
      </c>
      <c r="BP865" t="s">
        <v>74</v>
      </c>
      <c r="BQ865" t="s">
        <v>74</v>
      </c>
      <c r="BR865" t="s">
        <v>101</v>
      </c>
      <c r="BS865" t="s">
        <v>13018</v>
      </c>
      <c r="BT865" t="str">
        <f>HYPERLINK("https%3A%2F%2Fwww.webofscience.com%2Fwos%2Fwoscc%2Ffull-record%2FWOS:000232312600005","View Full Record in Web of Science")</f>
        <v>View Full Record in Web of Science</v>
      </c>
    </row>
    <row r="866" spans="1:72" x14ac:dyDescent="0.15">
      <c r="A866" t="s">
        <v>72</v>
      </c>
      <c r="B866" t="s">
        <v>13019</v>
      </c>
      <c r="C866" t="s">
        <v>74</v>
      </c>
      <c r="D866" t="s">
        <v>74</v>
      </c>
      <c r="E866" t="s">
        <v>74</v>
      </c>
      <c r="F866" t="s">
        <v>13019</v>
      </c>
      <c r="G866" t="s">
        <v>74</v>
      </c>
      <c r="H866" t="s">
        <v>74</v>
      </c>
      <c r="I866" t="s">
        <v>13020</v>
      </c>
      <c r="J866" t="s">
        <v>13021</v>
      </c>
      <c r="K866" t="s">
        <v>74</v>
      </c>
      <c r="L866" t="s">
        <v>74</v>
      </c>
      <c r="M866" t="s">
        <v>77</v>
      </c>
      <c r="N866" t="s">
        <v>78</v>
      </c>
      <c r="O866" t="s">
        <v>74</v>
      </c>
      <c r="P866" t="s">
        <v>74</v>
      </c>
      <c r="Q866" t="s">
        <v>74</v>
      </c>
      <c r="R866" t="s">
        <v>74</v>
      </c>
      <c r="S866" t="s">
        <v>74</v>
      </c>
      <c r="T866" t="s">
        <v>74</v>
      </c>
      <c r="U866" t="s">
        <v>13022</v>
      </c>
      <c r="V866" t="s">
        <v>13023</v>
      </c>
      <c r="W866" t="s">
        <v>13024</v>
      </c>
      <c r="X866" t="s">
        <v>2536</v>
      </c>
      <c r="Y866" t="s">
        <v>13025</v>
      </c>
      <c r="Z866" t="s">
        <v>13026</v>
      </c>
      <c r="AA866" t="s">
        <v>74</v>
      </c>
      <c r="AB866" t="s">
        <v>13027</v>
      </c>
      <c r="AC866" t="s">
        <v>74</v>
      </c>
      <c r="AD866" t="s">
        <v>74</v>
      </c>
      <c r="AE866" t="s">
        <v>74</v>
      </c>
      <c r="AF866" t="s">
        <v>74</v>
      </c>
      <c r="AG866">
        <v>74</v>
      </c>
      <c r="AH866">
        <v>17</v>
      </c>
      <c r="AI866">
        <v>18</v>
      </c>
      <c r="AJ866">
        <v>0</v>
      </c>
      <c r="AK866">
        <v>10</v>
      </c>
      <c r="AL866" t="s">
        <v>1891</v>
      </c>
      <c r="AM866" t="s">
        <v>140</v>
      </c>
      <c r="AN866" t="s">
        <v>1892</v>
      </c>
      <c r="AO866" t="s">
        <v>13028</v>
      </c>
      <c r="AP866" t="s">
        <v>74</v>
      </c>
      <c r="AQ866" t="s">
        <v>74</v>
      </c>
      <c r="AR866" t="s">
        <v>13029</v>
      </c>
      <c r="AS866" t="s">
        <v>13030</v>
      </c>
      <c r="AT866" t="s">
        <v>12471</v>
      </c>
      <c r="AU866">
        <v>2005</v>
      </c>
      <c r="AV866">
        <v>71</v>
      </c>
      <c r="AW866" t="s">
        <v>74</v>
      </c>
      <c r="AX866">
        <v>3</v>
      </c>
      <c r="AY866" t="s">
        <v>74</v>
      </c>
      <c r="AZ866" t="s">
        <v>74</v>
      </c>
      <c r="BA866" t="s">
        <v>74</v>
      </c>
      <c r="BB866">
        <v>199</v>
      </c>
      <c r="BC866">
        <v>210</v>
      </c>
      <c r="BD866" t="s">
        <v>74</v>
      </c>
      <c r="BE866" t="s">
        <v>13031</v>
      </c>
      <c r="BF866" t="str">
        <f>HYPERLINK("http://dx.doi.org/10.1093/mollus/eyi028","http://dx.doi.org/10.1093/mollus/eyi028")</f>
        <v>http://dx.doi.org/10.1093/mollus/eyi028</v>
      </c>
      <c r="BG866" t="s">
        <v>74</v>
      </c>
      <c r="BH866" t="s">
        <v>74</v>
      </c>
      <c r="BI866">
        <v>12</v>
      </c>
      <c r="BJ866" t="s">
        <v>3205</v>
      </c>
      <c r="BK866" t="s">
        <v>98</v>
      </c>
      <c r="BL866" t="s">
        <v>3205</v>
      </c>
      <c r="BM866" t="s">
        <v>13032</v>
      </c>
      <c r="BN866" t="s">
        <v>74</v>
      </c>
      <c r="BO866" t="s">
        <v>1900</v>
      </c>
      <c r="BP866" t="s">
        <v>74</v>
      </c>
      <c r="BQ866" t="s">
        <v>74</v>
      </c>
      <c r="BR866" t="s">
        <v>101</v>
      </c>
      <c r="BS866" t="s">
        <v>13033</v>
      </c>
      <c r="BT866" t="str">
        <f>HYPERLINK("https%3A%2F%2Fwww.webofscience.com%2Fwos%2Fwoscc%2Ffull-record%2FWOS:000230847200001","View Full Record in Web of Science")</f>
        <v>View Full Record in Web of Science</v>
      </c>
    </row>
    <row r="867" spans="1:72" x14ac:dyDescent="0.15">
      <c r="A867" t="s">
        <v>72</v>
      </c>
      <c r="B867" t="s">
        <v>13034</v>
      </c>
      <c r="C867" t="s">
        <v>74</v>
      </c>
      <c r="D867" t="s">
        <v>74</v>
      </c>
      <c r="E867" t="s">
        <v>74</v>
      </c>
      <c r="F867" t="s">
        <v>13034</v>
      </c>
      <c r="G867" t="s">
        <v>74</v>
      </c>
      <c r="H867" t="s">
        <v>74</v>
      </c>
      <c r="I867" t="s">
        <v>13035</v>
      </c>
      <c r="J867" t="s">
        <v>13036</v>
      </c>
      <c r="K867" t="s">
        <v>74</v>
      </c>
      <c r="L867" t="s">
        <v>74</v>
      </c>
      <c r="M867" t="s">
        <v>77</v>
      </c>
      <c r="N867" t="s">
        <v>78</v>
      </c>
      <c r="O867" t="s">
        <v>74</v>
      </c>
      <c r="P867" t="s">
        <v>74</v>
      </c>
      <c r="Q867" t="s">
        <v>74</v>
      </c>
      <c r="R867" t="s">
        <v>74</v>
      </c>
      <c r="S867" t="s">
        <v>74</v>
      </c>
      <c r="T867" t="s">
        <v>13037</v>
      </c>
      <c r="U867" t="s">
        <v>13038</v>
      </c>
      <c r="V867" t="s">
        <v>13039</v>
      </c>
      <c r="W867" t="s">
        <v>13040</v>
      </c>
      <c r="X867" t="s">
        <v>13041</v>
      </c>
      <c r="Y867" t="s">
        <v>13042</v>
      </c>
      <c r="Z867" t="s">
        <v>13043</v>
      </c>
      <c r="AA867" t="s">
        <v>13044</v>
      </c>
      <c r="AB867" t="s">
        <v>74</v>
      </c>
      <c r="AC867" t="s">
        <v>74</v>
      </c>
      <c r="AD867" t="s">
        <v>74</v>
      </c>
      <c r="AE867" t="s">
        <v>74</v>
      </c>
      <c r="AF867" t="s">
        <v>74</v>
      </c>
      <c r="AG867">
        <v>64</v>
      </c>
      <c r="AH867">
        <v>32</v>
      </c>
      <c r="AI867">
        <v>35</v>
      </c>
      <c r="AJ867">
        <v>2</v>
      </c>
      <c r="AK867">
        <v>28</v>
      </c>
      <c r="AL867" t="s">
        <v>88</v>
      </c>
      <c r="AM867" t="s">
        <v>162</v>
      </c>
      <c r="AN867" t="s">
        <v>163</v>
      </c>
      <c r="AO867" t="s">
        <v>13045</v>
      </c>
      <c r="AP867" t="s">
        <v>13046</v>
      </c>
      <c r="AQ867" t="s">
        <v>74</v>
      </c>
      <c r="AR867" t="s">
        <v>13047</v>
      </c>
      <c r="AS867" t="s">
        <v>13048</v>
      </c>
      <c r="AT867" t="s">
        <v>12471</v>
      </c>
      <c r="AU867">
        <v>2005</v>
      </c>
      <c r="AV867">
        <v>34</v>
      </c>
      <c r="AW867">
        <v>2</v>
      </c>
      <c r="AX867" t="s">
        <v>74</v>
      </c>
      <c r="AY867" t="s">
        <v>74</v>
      </c>
      <c r="AZ867" t="s">
        <v>74</v>
      </c>
      <c r="BA867" t="s">
        <v>74</v>
      </c>
      <c r="BB867">
        <v>191</v>
      </c>
      <c r="BC867">
        <v>202</v>
      </c>
      <c r="BD867" t="s">
        <v>74</v>
      </c>
      <c r="BE867" t="s">
        <v>13049</v>
      </c>
      <c r="BF867" t="str">
        <f>HYPERLINK("http://dx.doi.org/10.1007/s10933-005-4402-0","http://dx.doi.org/10.1007/s10933-005-4402-0")</f>
        <v>http://dx.doi.org/10.1007/s10933-005-4402-0</v>
      </c>
      <c r="BG867" t="s">
        <v>74</v>
      </c>
      <c r="BH867" t="s">
        <v>74</v>
      </c>
      <c r="BI867">
        <v>12</v>
      </c>
      <c r="BJ867" t="s">
        <v>13050</v>
      </c>
      <c r="BK867" t="s">
        <v>98</v>
      </c>
      <c r="BL867" t="s">
        <v>13051</v>
      </c>
      <c r="BM867" t="s">
        <v>13052</v>
      </c>
      <c r="BN867" t="s">
        <v>74</v>
      </c>
      <c r="BO867" t="s">
        <v>74</v>
      </c>
      <c r="BP867" t="s">
        <v>74</v>
      </c>
      <c r="BQ867" t="s">
        <v>74</v>
      </c>
      <c r="BR867" t="s">
        <v>101</v>
      </c>
      <c r="BS867" t="s">
        <v>13053</v>
      </c>
      <c r="BT867" t="str">
        <f>HYPERLINK("https%3A%2F%2Fwww.webofscience.com%2Fwos%2Fwoscc%2Ffull-record%2FWOS:000229972800004","View Full Record in Web of Science")</f>
        <v>View Full Record in Web of Science</v>
      </c>
    </row>
    <row r="868" spans="1:72" x14ac:dyDescent="0.15">
      <c r="A868" t="s">
        <v>72</v>
      </c>
      <c r="B868" t="s">
        <v>13054</v>
      </c>
      <c r="C868" t="s">
        <v>74</v>
      </c>
      <c r="D868" t="s">
        <v>74</v>
      </c>
      <c r="E868" t="s">
        <v>74</v>
      </c>
      <c r="F868" t="s">
        <v>13054</v>
      </c>
      <c r="G868" t="s">
        <v>74</v>
      </c>
      <c r="H868" t="s">
        <v>74</v>
      </c>
      <c r="I868" t="s">
        <v>13055</v>
      </c>
      <c r="J868" t="s">
        <v>13056</v>
      </c>
      <c r="K868" t="s">
        <v>74</v>
      </c>
      <c r="L868" t="s">
        <v>74</v>
      </c>
      <c r="M868" t="s">
        <v>77</v>
      </c>
      <c r="N868" t="s">
        <v>289</v>
      </c>
      <c r="O868" t="s">
        <v>74</v>
      </c>
      <c r="P868" t="s">
        <v>74</v>
      </c>
      <c r="Q868" t="s">
        <v>74</v>
      </c>
      <c r="R868" t="s">
        <v>74</v>
      </c>
      <c r="S868" t="s">
        <v>74</v>
      </c>
      <c r="T868" t="s">
        <v>13057</v>
      </c>
      <c r="U868" t="s">
        <v>13058</v>
      </c>
      <c r="V868" t="s">
        <v>13059</v>
      </c>
      <c r="W868" t="s">
        <v>13060</v>
      </c>
      <c r="X868" t="s">
        <v>13061</v>
      </c>
      <c r="Y868" t="s">
        <v>13062</v>
      </c>
      <c r="Z868" t="s">
        <v>13063</v>
      </c>
      <c r="AA868" t="s">
        <v>13064</v>
      </c>
      <c r="AB868" t="s">
        <v>13065</v>
      </c>
      <c r="AC868" t="s">
        <v>74</v>
      </c>
      <c r="AD868" t="s">
        <v>74</v>
      </c>
      <c r="AE868" t="s">
        <v>74</v>
      </c>
      <c r="AF868" t="s">
        <v>74</v>
      </c>
      <c r="AG868">
        <v>123</v>
      </c>
      <c r="AH868">
        <v>44</v>
      </c>
      <c r="AI868">
        <v>48</v>
      </c>
      <c r="AJ868">
        <v>1</v>
      </c>
      <c r="AK868">
        <v>20</v>
      </c>
      <c r="AL868" t="s">
        <v>1891</v>
      </c>
      <c r="AM868" t="s">
        <v>140</v>
      </c>
      <c r="AN868" t="s">
        <v>1892</v>
      </c>
      <c r="AO868" t="s">
        <v>13066</v>
      </c>
      <c r="AP868" t="s">
        <v>13067</v>
      </c>
      <c r="AQ868" t="s">
        <v>74</v>
      </c>
      <c r="AR868" t="s">
        <v>13068</v>
      </c>
      <c r="AS868" t="s">
        <v>13069</v>
      </c>
      <c r="AT868" t="s">
        <v>12471</v>
      </c>
      <c r="AU868">
        <v>2005</v>
      </c>
      <c r="AV868">
        <v>46</v>
      </c>
      <c r="AW868">
        <v>8</v>
      </c>
      <c r="AX868" t="s">
        <v>74</v>
      </c>
      <c r="AY868" t="s">
        <v>74</v>
      </c>
      <c r="AZ868" t="s">
        <v>74</v>
      </c>
      <c r="BA868" t="s">
        <v>74</v>
      </c>
      <c r="BB868">
        <v>1603</v>
      </c>
      <c r="BC868">
        <v>1643</v>
      </c>
      <c r="BD868" t="s">
        <v>74</v>
      </c>
      <c r="BE868" t="s">
        <v>13070</v>
      </c>
      <c r="BF868" t="str">
        <f>HYPERLINK("http://dx.doi.org/10.1093/petrology/egi028","http://dx.doi.org/10.1093/petrology/egi028")</f>
        <v>http://dx.doi.org/10.1093/petrology/egi028</v>
      </c>
      <c r="BG868" t="s">
        <v>74</v>
      </c>
      <c r="BH868" t="s">
        <v>74</v>
      </c>
      <c r="BI868">
        <v>41</v>
      </c>
      <c r="BJ868" t="s">
        <v>1348</v>
      </c>
      <c r="BK868" t="s">
        <v>98</v>
      </c>
      <c r="BL868" t="s">
        <v>1348</v>
      </c>
      <c r="BM868" t="s">
        <v>13071</v>
      </c>
      <c r="BN868" t="s">
        <v>74</v>
      </c>
      <c r="BO868" t="s">
        <v>1900</v>
      </c>
      <c r="BP868" t="s">
        <v>74</v>
      </c>
      <c r="BQ868" t="s">
        <v>74</v>
      </c>
      <c r="BR868" t="s">
        <v>101</v>
      </c>
      <c r="BS868" t="s">
        <v>13072</v>
      </c>
      <c r="BT868" t="str">
        <f>HYPERLINK("https%3A%2F%2Fwww.webofscience.com%2Fwos%2Fwoscc%2Ffull-record%2FWOS:000230725500005","View Full Record in Web of Science")</f>
        <v>View Full Record in Web of Science</v>
      </c>
    </row>
    <row r="869" spans="1:72" x14ac:dyDescent="0.15">
      <c r="A869" t="s">
        <v>72</v>
      </c>
      <c r="B869" t="s">
        <v>13073</v>
      </c>
      <c r="C869" t="s">
        <v>74</v>
      </c>
      <c r="D869" t="s">
        <v>74</v>
      </c>
      <c r="E869" t="s">
        <v>74</v>
      </c>
      <c r="F869" t="s">
        <v>13073</v>
      </c>
      <c r="G869" t="s">
        <v>74</v>
      </c>
      <c r="H869" t="s">
        <v>74</v>
      </c>
      <c r="I869" t="s">
        <v>13074</v>
      </c>
      <c r="J869" t="s">
        <v>13075</v>
      </c>
      <c r="K869" t="s">
        <v>74</v>
      </c>
      <c r="L869" t="s">
        <v>74</v>
      </c>
      <c r="M869" t="s">
        <v>77</v>
      </c>
      <c r="N869" t="s">
        <v>78</v>
      </c>
      <c r="O869" t="s">
        <v>74</v>
      </c>
      <c r="P869" t="s">
        <v>74</v>
      </c>
      <c r="Q869" t="s">
        <v>74</v>
      </c>
      <c r="R869" t="s">
        <v>74</v>
      </c>
      <c r="S869" t="s">
        <v>74</v>
      </c>
      <c r="T869" t="s">
        <v>13076</v>
      </c>
      <c r="U869" t="s">
        <v>13077</v>
      </c>
      <c r="V869" t="s">
        <v>13078</v>
      </c>
      <c r="W869" t="s">
        <v>13079</v>
      </c>
      <c r="X869" t="s">
        <v>13080</v>
      </c>
      <c r="Y869" t="s">
        <v>13081</v>
      </c>
      <c r="Z869" t="s">
        <v>13082</v>
      </c>
      <c r="AA869" t="s">
        <v>13083</v>
      </c>
      <c r="AB869" t="s">
        <v>13084</v>
      </c>
      <c r="AC869" t="s">
        <v>74</v>
      </c>
      <c r="AD869" t="s">
        <v>74</v>
      </c>
      <c r="AE869" t="s">
        <v>74</v>
      </c>
      <c r="AF869" t="s">
        <v>74</v>
      </c>
      <c r="AG869">
        <v>43</v>
      </c>
      <c r="AH869">
        <v>140</v>
      </c>
      <c r="AI869">
        <v>166</v>
      </c>
      <c r="AJ869">
        <v>2</v>
      </c>
      <c r="AK869">
        <v>77</v>
      </c>
      <c r="AL869" t="s">
        <v>5428</v>
      </c>
      <c r="AM869" t="s">
        <v>5429</v>
      </c>
      <c r="AN869" t="s">
        <v>5430</v>
      </c>
      <c r="AO869" t="s">
        <v>13085</v>
      </c>
      <c r="AP869" t="s">
        <v>74</v>
      </c>
      <c r="AQ869" t="s">
        <v>74</v>
      </c>
      <c r="AR869" t="s">
        <v>13086</v>
      </c>
      <c r="AS869" t="s">
        <v>13087</v>
      </c>
      <c r="AT869" t="s">
        <v>12787</v>
      </c>
      <c r="AU869">
        <v>2005</v>
      </c>
      <c r="AV869">
        <v>80</v>
      </c>
      <c r="AW869">
        <v>2</v>
      </c>
      <c r="AX869" t="s">
        <v>74</v>
      </c>
      <c r="AY869" t="s">
        <v>74</v>
      </c>
      <c r="AZ869" t="s">
        <v>74</v>
      </c>
      <c r="BA869" t="s">
        <v>74</v>
      </c>
      <c r="BB869">
        <v>71</v>
      </c>
      <c r="BC869">
        <v>78</v>
      </c>
      <c r="BD869" t="s">
        <v>74</v>
      </c>
      <c r="BE869" t="s">
        <v>13088</v>
      </c>
      <c r="BF869" t="str">
        <f>HYPERLINK("http://dx.doi.org/10.1016/j.jphotobiol.2005.03.002","http://dx.doi.org/10.1016/j.jphotobiol.2005.03.002")</f>
        <v>http://dx.doi.org/10.1016/j.jphotobiol.2005.03.002</v>
      </c>
      <c r="BG869" t="s">
        <v>74</v>
      </c>
      <c r="BH869" t="s">
        <v>74</v>
      </c>
      <c r="BI869">
        <v>8</v>
      </c>
      <c r="BJ869" t="s">
        <v>11850</v>
      </c>
      <c r="BK869" t="s">
        <v>98</v>
      </c>
      <c r="BL869" t="s">
        <v>11850</v>
      </c>
      <c r="BM869" t="s">
        <v>13089</v>
      </c>
      <c r="BN869">
        <v>16038805</v>
      </c>
      <c r="BO869" t="s">
        <v>74</v>
      </c>
      <c r="BP869" t="s">
        <v>74</v>
      </c>
      <c r="BQ869" t="s">
        <v>74</v>
      </c>
      <c r="BR869" t="s">
        <v>101</v>
      </c>
      <c r="BS869" t="s">
        <v>13090</v>
      </c>
      <c r="BT869" t="str">
        <f>HYPERLINK("https%3A%2F%2Fwww.webofscience.com%2Fwos%2Fwoscc%2Ffull-record%2FWOS:000231003300001","View Full Record in Web of Science")</f>
        <v>View Full Record in Web of Science</v>
      </c>
    </row>
    <row r="870" spans="1:72" x14ac:dyDescent="0.15">
      <c r="A870" t="s">
        <v>72</v>
      </c>
      <c r="B870" t="s">
        <v>13091</v>
      </c>
      <c r="C870" t="s">
        <v>74</v>
      </c>
      <c r="D870" t="s">
        <v>74</v>
      </c>
      <c r="E870" t="s">
        <v>74</v>
      </c>
      <c r="F870" t="s">
        <v>13091</v>
      </c>
      <c r="G870" t="s">
        <v>74</v>
      </c>
      <c r="H870" t="s">
        <v>74</v>
      </c>
      <c r="I870" t="s">
        <v>13092</v>
      </c>
      <c r="J870" t="s">
        <v>6362</v>
      </c>
      <c r="K870" t="s">
        <v>74</v>
      </c>
      <c r="L870" t="s">
        <v>74</v>
      </c>
      <c r="M870" t="s">
        <v>77</v>
      </c>
      <c r="N870" t="s">
        <v>78</v>
      </c>
      <c r="O870" t="s">
        <v>74</v>
      </c>
      <c r="P870" t="s">
        <v>74</v>
      </c>
      <c r="Q870" t="s">
        <v>74</v>
      </c>
      <c r="R870" t="s">
        <v>74</v>
      </c>
      <c r="S870" t="s">
        <v>74</v>
      </c>
      <c r="T870" t="s">
        <v>13093</v>
      </c>
      <c r="U870" t="s">
        <v>13094</v>
      </c>
      <c r="V870" t="s">
        <v>13095</v>
      </c>
      <c r="W870" t="s">
        <v>13096</v>
      </c>
      <c r="X870" t="s">
        <v>4354</v>
      </c>
      <c r="Y870" t="s">
        <v>13097</v>
      </c>
      <c r="Z870" t="s">
        <v>13098</v>
      </c>
      <c r="AA870" t="s">
        <v>11124</v>
      </c>
      <c r="AB870" t="s">
        <v>74</v>
      </c>
      <c r="AC870" t="s">
        <v>74</v>
      </c>
      <c r="AD870" t="s">
        <v>74</v>
      </c>
      <c r="AE870" t="s">
        <v>74</v>
      </c>
      <c r="AF870" t="s">
        <v>74</v>
      </c>
      <c r="AG870">
        <v>32</v>
      </c>
      <c r="AH870">
        <v>30</v>
      </c>
      <c r="AI870">
        <v>35</v>
      </c>
      <c r="AJ870">
        <v>1</v>
      </c>
      <c r="AK870">
        <v>17</v>
      </c>
      <c r="AL870" t="s">
        <v>2025</v>
      </c>
      <c r="AM870" t="s">
        <v>2026</v>
      </c>
      <c r="AN870" t="s">
        <v>2027</v>
      </c>
      <c r="AO870" t="s">
        <v>6372</v>
      </c>
      <c r="AP870" t="s">
        <v>6373</v>
      </c>
      <c r="AQ870" t="s">
        <v>74</v>
      </c>
      <c r="AR870" t="s">
        <v>6374</v>
      </c>
      <c r="AS870" t="s">
        <v>6375</v>
      </c>
      <c r="AT870" t="s">
        <v>12471</v>
      </c>
      <c r="AU870">
        <v>2005</v>
      </c>
      <c r="AV870">
        <v>41</v>
      </c>
      <c r="AW870">
        <v>4</v>
      </c>
      <c r="AX870" t="s">
        <v>74</v>
      </c>
      <c r="AY870" t="s">
        <v>74</v>
      </c>
      <c r="AZ870" t="s">
        <v>74</v>
      </c>
      <c r="BA870" t="s">
        <v>74</v>
      </c>
      <c r="BB870">
        <v>732</v>
      </c>
      <c r="BC870">
        <v>741</v>
      </c>
      <c r="BD870" t="s">
        <v>74</v>
      </c>
      <c r="BE870" t="s">
        <v>13099</v>
      </c>
      <c r="BF870" t="str">
        <f>HYPERLINK("http://dx.doi.org/10.1111/j.1529-8817.2005.00095.x","http://dx.doi.org/10.1111/j.1529-8817.2005.00095.x")</f>
        <v>http://dx.doi.org/10.1111/j.1529-8817.2005.00095.x</v>
      </c>
      <c r="BG870" t="s">
        <v>74</v>
      </c>
      <c r="BH870" t="s">
        <v>74</v>
      </c>
      <c r="BI870">
        <v>10</v>
      </c>
      <c r="BJ870" t="s">
        <v>6377</v>
      </c>
      <c r="BK870" t="s">
        <v>98</v>
      </c>
      <c r="BL870" t="s">
        <v>6377</v>
      </c>
      <c r="BM870" t="s">
        <v>13100</v>
      </c>
      <c r="BN870" t="s">
        <v>74</v>
      </c>
      <c r="BO870" t="s">
        <v>74</v>
      </c>
      <c r="BP870" t="s">
        <v>74</v>
      </c>
      <c r="BQ870" t="s">
        <v>74</v>
      </c>
      <c r="BR870" t="s">
        <v>101</v>
      </c>
      <c r="BS870" t="s">
        <v>13101</v>
      </c>
      <c r="BT870" t="str">
        <f>HYPERLINK("https%3A%2F%2Fwww.webofscience.com%2Fwos%2Fwoscc%2Ffull-record%2FWOS:000231146000003","View Full Record in Web of Science")</f>
        <v>View Full Record in Web of Science</v>
      </c>
    </row>
    <row r="871" spans="1:72" x14ac:dyDescent="0.15">
      <c r="A871" t="s">
        <v>72</v>
      </c>
      <c r="B871" t="s">
        <v>13102</v>
      </c>
      <c r="C871" t="s">
        <v>74</v>
      </c>
      <c r="D871" t="s">
        <v>74</v>
      </c>
      <c r="E871" t="s">
        <v>74</v>
      </c>
      <c r="F871" t="s">
        <v>13102</v>
      </c>
      <c r="G871" t="s">
        <v>74</v>
      </c>
      <c r="H871" t="s">
        <v>74</v>
      </c>
      <c r="I871" t="s">
        <v>13103</v>
      </c>
      <c r="J871" t="s">
        <v>6362</v>
      </c>
      <c r="K871" t="s">
        <v>74</v>
      </c>
      <c r="L871" t="s">
        <v>74</v>
      </c>
      <c r="M871" t="s">
        <v>77</v>
      </c>
      <c r="N871" t="s">
        <v>78</v>
      </c>
      <c r="O871" t="s">
        <v>74</v>
      </c>
      <c r="P871" t="s">
        <v>74</v>
      </c>
      <c r="Q871" t="s">
        <v>74</v>
      </c>
      <c r="R871" t="s">
        <v>74</v>
      </c>
      <c r="S871" t="s">
        <v>74</v>
      </c>
      <c r="T871" t="s">
        <v>13104</v>
      </c>
      <c r="U871" t="s">
        <v>13105</v>
      </c>
      <c r="V871" t="s">
        <v>13106</v>
      </c>
      <c r="W871" t="s">
        <v>13107</v>
      </c>
      <c r="X871" t="s">
        <v>13108</v>
      </c>
      <c r="Y871" t="s">
        <v>13109</v>
      </c>
      <c r="Z871" t="s">
        <v>13110</v>
      </c>
      <c r="AA871" t="s">
        <v>13111</v>
      </c>
      <c r="AB871" t="s">
        <v>13112</v>
      </c>
      <c r="AC871" t="s">
        <v>74</v>
      </c>
      <c r="AD871" t="s">
        <v>74</v>
      </c>
      <c r="AE871" t="s">
        <v>74</v>
      </c>
      <c r="AF871" t="s">
        <v>74</v>
      </c>
      <c r="AG871">
        <v>36</v>
      </c>
      <c r="AH871">
        <v>61</v>
      </c>
      <c r="AI871">
        <v>68</v>
      </c>
      <c r="AJ871">
        <v>1</v>
      </c>
      <c r="AK871">
        <v>28</v>
      </c>
      <c r="AL871" t="s">
        <v>2025</v>
      </c>
      <c r="AM871" t="s">
        <v>2026</v>
      </c>
      <c r="AN871" t="s">
        <v>2027</v>
      </c>
      <c r="AO871" t="s">
        <v>6372</v>
      </c>
      <c r="AP871" t="s">
        <v>6373</v>
      </c>
      <c r="AQ871" t="s">
        <v>74</v>
      </c>
      <c r="AR871" t="s">
        <v>6374</v>
      </c>
      <c r="AS871" t="s">
        <v>6375</v>
      </c>
      <c r="AT871" t="s">
        <v>12471</v>
      </c>
      <c r="AU871">
        <v>2005</v>
      </c>
      <c r="AV871">
        <v>41</v>
      </c>
      <c r="AW871">
        <v>4</v>
      </c>
      <c r="AX871" t="s">
        <v>74</v>
      </c>
      <c r="AY871" t="s">
        <v>74</v>
      </c>
      <c r="AZ871" t="s">
        <v>74</v>
      </c>
      <c r="BA871" t="s">
        <v>74</v>
      </c>
      <c r="BB871">
        <v>763</v>
      </c>
      <c r="BC871">
        <v>769</v>
      </c>
      <c r="BD871" t="s">
        <v>74</v>
      </c>
      <c r="BE871" t="s">
        <v>13113</v>
      </c>
      <c r="BF871" t="str">
        <f>HYPERLINK("http://dx.doi.org/10.1111/j.1529-8817.2005.00106.x","http://dx.doi.org/10.1111/j.1529-8817.2005.00106.x")</f>
        <v>http://dx.doi.org/10.1111/j.1529-8817.2005.00106.x</v>
      </c>
      <c r="BG871" t="s">
        <v>74</v>
      </c>
      <c r="BH871" t="s">
        <v>74</v>
      </c>
      <c r="BI871">
        <v>7</v>
      </c>
      <c r="BJ871" t="s">
        <v>6377</v>
      </c>
      <c r="BK871" t="s">
        <v>98</v>
      </c>
      <c r="BL871" t="s">
        <v>6377</v>
      </c>
      <c r="BM871" t="s">
        <v>13100</v>
      </c>
      <c r="BN871" t="s">
        <v>74</v>
      </c>
      <c r="BO871" t="s">
        <v>74</v>
      </c>
      <c r="BP871" t="s">
        <v>74</v>
      </c>
      <c r="BQ871" t="s">
        <v>74</v>
      </c>
      <c r="BR871" t="s">
        <v>101</v>
      </c>
      <c r="BS871" t="s">
        <v>13114</v>
      </c>
      <c r="BT871" t="str">
        <f>HYPERLINK("https%3A%2F%2Fwww.webofscience.com%2Fwos%2Fwoscc%2Ffull-record%2FWOS:000231146000006","View Full Record in Web of Science")</f>
        <v>View Full Record in Web of Science</v>
      </c>
    </row>
    <row r="872" spans="1:72" x14ac:dyDescent="0.15">
      <c r="A872" t="s">
        <v>72</v>
      </c>
      <c r="B872" t="s">
        <v>13115</v>
      </c>
      <c r="C872" t="s">
        <v>74</v>
      </c>
      <c r="D872" t="s">
        <v>74</v>
      </c>
      <c r="E872" t="s">
        <v>74</v>
      </c>
      <c r="F872" t="s">
        <v>13115</v>
      </c>
      <c r="G872" t="s">
        <v>74</v>
      </c>
      <c r="H872" t="s">
        <v>74</v>
      </c>
      <c r="I872" t="s">
        <v>13116</v>
      </c>
      <c r="J872" t="s">
        <v>6362</v>
      </c>
      <c r="K872" t="s">
        <v>74</v>
      </c>
      <c r="L872" t="s">
        <v>74</v>
      </c>
      <c r="M872" t="s">
        <v>77</v>
      </c>
      <c r="N872" t="s">
        <v>78</v>
      </c>
      <c r="O872" t="s">
        <v>74</v>
      </c>
      <c r="P872" t="s">
        <v>74</v>
      </c>
      <c r="Q872" t="s">
        <v>74</v>
      </c>
      <c r="R872" t="s">
        <v>74</v>
      </c>
      <c r="S872" t="s">
        <v>74</v>
      </c>
      <c r="T872" t="s">
        <v>13117</v>
      </c>
      <c r="U872" t="s">
        <v>13118</v>
      </c>
      <c r="V872" t="s">
        <v>13119</v>
      </c>
      <c r="W872" t="s">
        <v>13120</v>
      </c>
      <c r="X872" t="s">
        <v>13121</v>
      </c>
      <c r="Y872" t="s">
        <v>13122</v>
      </c>
      <c r="Z872" t="s">
        <v>13123</v>
      </c>
      <c r="AA872" t="s">
        <v>74</v>
      </c>
      <c r="AB872" t="s">
        <v>13124</v>
      </c>
      <c r="AC872" t="s">
        <v>74</v>
      </c>
      <c r="AD872" t="s">
        <v>74</v>
      </c>
      <c r="AE872" t="s">
        <v>74</v>
      </c>
      <c r="AF872" t="s">
        <v>74</v>
      </c>
      <c r="AG872">
        <v>54</v>
      </c>
      <c r="AH872">
        <v>33</v>
      </c>
      <c r="AI872">
        <v>38</v>
      </c>
      <c r="AJ872">
        <v>1</v>
      </c>
      <c r="AK872">
        <v>19</v>
      </c>
      <c r="AL872" t="s">
        <v>2025</v>
      </c>
      <c r="AM872" t="s">
        <v>2026</v>
      </c>
      <c r="AN872" t="s">
        <v>2027</v>
      </c>
      <c r="AO872" t="s">
        <v>6372</v>
      </c>
      <c r="AP872" t="s">
        <v>6373</v>
      </c>
      <c r="AQ872" t="s">
        <v>74</v>
      </c>
      <c r="AR872" t="s">
        <v>6374</v>
      </c>
      <c r="AS872" t="s">
        <v>6375</v>
      </c>
      <c r="AT872" t="s">
        <v>12471</v>
      </c>
      <c r="AU872">
        <v>2005</v>
      </c>
      <c r="AV872">
        <v>41</v>
      </c>
      <c r="AW872">
        <v>4</v>
      </c>
      <c r="AX872" t="s">
        <v>74</v>
      </c>
      <c r="AY872" t="s">
        <v>74</v>
      </c>
      <c r="AZ872" t="s">
        <v>74</v>
      </c>
      <c r="BA872" t="s">
        <v>74</v>
      </c>
      <c r="BB872">
        <v>791</v>
      </c>
      <c r="BC872">
        <v>800</v>
      </c>
      <c r="BD872" t="s">
        <v>74</v>
      </c>
      <c r="BE872" t="s">
        <v>13125</v>
      </c>
      <c r="BF872" t="str">
        <f>HYPERLINK("http://dx.doi.org/10.1111/j.1529-8817.2005.04174.x","http://dx.doi.org/10.1111/j.1529-8817.2005.04174.x")</f>
        <v>http://dx.doi.org/10.1111/j.1529-8817.2005.04174.x</v>
      </c>
      <c r="BG872" t="s">
        <v>74</v>
      </c>
      <c r="BH872" t="s">
        <v>74</v>
      </c>
      <c r="BI872">
        <v>10</v>
      </c>
      <c r="BJ872" t="s">
        <v>6377</v>
      </c>
      <c r="BK872" t="s">
        <v>98</v>
      </c>
      <c r="BL872" t="s">
        <v>6377</v>
      </c>
      <c r="BM872" t="s">
        <v>13100</v>
      </c>
      <c r="BN872" t="s">
        <v>74</v>
      </c>
      <c r="BO872" t="s">
        <v>74</v>
      </c>
      <c r="BP872" t="s">
        <v>74</v>
      </c>
      <c r="BQ872" t="s">
        <v>74</v>
      </c>
      <c r="BR872" t="s">
        <v>101</v>
      </c>
      <c r="BS872" t="s">
        <v>13126</v>
      </c>
      <c r="BT872" t="str">
        <f>HYPERLINK("https%3A%2F%2Fwww.webofscience.com%2Fwos%2Fwoscc%2Ffull-record%2FWOS:000231146000010","View Full Record in Web of Science")</f>
        <v>View Full Record in Web of Science</v>
      </c>
    </row>
    <row r="873" spans="1:72" x14ac:dyDescent="0.15">
      <c r="A873" t="s">
        <v>72</v>
      </c>
      <c r="B873" t="s">
        <v>13127</v>
      </c>
      <c r="C873" t="s">
        <v>74</v>
      </c>
      <c r="D873" t="s">
        <v>74</v>
      </c>
      <c r="E873" t="s">
        <v>74</v>
      </c>
      <c r="F873" t="s">
        <v>13127</v>
      </c>
      <c r="G873" t="s">
        <v>74</v>
      </c>
      <c r="H873" t="s">
        <v>74</v>
      </c>
      <c r="I873" t="s">
        <v>13128</v>
      </c>
      <c r="J873" t="s">
        <v>6362</v>
      </c>
      <c r="K873" t="s">
        <v>74</v>
      </c>
      <c r="L873" t="s">
        <v>74</v>
      </c>
      <c r="M873" t="s">
        <v>77</v>
      </c>
      <c r="N873" t="s">
        <v>78</v>
      </c>
      <c r="O873" t="s">
        <v>74</v>
      </c>
      <c r="P873" t="s">
        <v>74</v>
      </c>
      <c r="Q873" t="s">
        <v>74</v>
      </c>
      <c r="R873" t="s">
        <v>74</v>
      </c>
      <c r="S873" t="s">
        <v>74</v>
      </c>
      <c r="T873" t="s">
        <v>13129</v>
      </c>
      <c r="U873" t="s">
        <v>13130</v>
      </c>
      <c r="V873" t="s">
        <v>13131</v>
      </c>
      <c r="W873" t="s">
        <v>13132</v>
      </c>
      <c r="X873" t="s">
        <v>13133</v>
      </c>
      <c r="Y873" t="s">
        <v>13134</v>
      </c>
      <c r="Z873" t="s">
        <v>13135</v>
      </c>
      <c r="AA873" t="s">
        <v>2889</v>
      </c>
      <c r="AB873" t="s">
        <v>2890</v>
      </c>
      <c r="AC873" t="s">
        <v>74</v>
      </c>
      <c r="AD873" t="s">
        <v>74</v>
      </c>
      <c r="AE873" t="s">
        <v>74</v>
      </c>
      <c r="AF873" t="s">
        <v>74</v>
      </c>
      <c r="AG873">
        <v>67</v>
      </c>
      <c r="AH873">
        <v>83</v>
      </c>
      <c r="AI873">
        <v>90</v>
      </c>
      <c r="AJ873">
        <v>0</v>
      </c>
      <c r="AK873">
        <v>22</v>
      </c>
      <c r="AL873" t="s">
        <v>2025</v>
      </c>
      <c r="AM873" t="s">
        <v>2026</v>
      </c>
      <c r="AN873" t="s">
        <v>2027</v>
      </c>
      <c r="AO873" t="s">
        <v>6372</v>
      </c>
      <c r="AP873" t="s">
        <v>6373</v>
      </c>
      <c r="AQ873" t="s">
        <v>74</v>
      </c>
      <c r="AR873" t="s">
        <v>6374</v>
      </c>
      <c r="AS873" t="s">
        <v>6375</v>
      </c>
      <c r="AT873" t="s">
        <v>12471</v>
      </c>
      <c r="AU873">
        <v>2005</v>
      </c>
      <c r="AV873">
        <v>41</v>
      </c>
      <c r="AW873">
        <v>4</v>
      </c>
      <c r="AX873" t="s">
        <v>74</v>
      </c>
      <c r="AY873" t="s">
        <v>74</v>
      </c>
      <c r="AZ873" t="s">
        <v>74</v>
      </c>
      <c r="BA873" t="s">
        <v>74</v>
      </c>
      <c r="BB873">
        <v>840</v>
      </c>
      <c r="BC873">
        <v>850</v>
      </c>
      <c r="BD873" t="s">
        <v>74</v>
      </c>
      <c r="BE873" t="s">
        <v>13136</v>
      </c>
      <c r="BF873" t="str">
        <f>HYPERLINK("http://dx.doi.org/10.1111/j.1529-8817.2005.00105.x","http://dx.doi.org/10.1111/j.1529-8817.2005.00105.x")</f>
        <v>http://dx.doi.org/10.1111/j.1529-8817.2005.00105.x</v>
      </c>
      <c r="BG873" t="s">
        <v>74</v>
      </c>
      <c r="BH873" t="s">
        <v>74</v>
      </c>
      <c r="BI873">
        <v>11</v>
      </c>
      <c r="BJ873" t="s">
        <v>6377</v>
      </c>
      <c r="BK873" t="s">
        <v>98</v>
      </c>
      <c r="BL873" t="s">
        <v>6377</v>
      </c>
      <c r="BM873" t="s">
        <v>13100</v>
      </c>
      <c r="BN873" t="s">
        <v>74</v>
      </c>
      <c r="BO873" t="s">
        <v>74</v>
      </c>
      <c r="BP873" t="s">
        <v>74</v>
      </c>
      <c r="BQ873" t="s">
        <v>74</v>
      </c>
      <c r="BR873" t="s">
        <v>101</v>
      </c>
      <c r="BS873" t="s">
        <v>13137</v>
      </c>
      <c r="BT873" t="str">
        <f>HYPERLINK("https%3A%2F%2Fwww.webofscience.com%2Fwos%2Fwoscc%2Ffull-record%2FWOS:000231146000016","View Full Record in Web of Science")</f>
        <v>View Full Record in Web of Science</v>
      </c>
    </row>
    <row r="874" spans="1:72" x14ac:dyDescent="0.15">
      <c r="A874" t="s">
        <v>72</v>
      </c>
      <c r="B874" t="s">
        <v>13138</v>
      </c>
      <c r="C874" t="s">
        <v>74</v>
      </c>
      <c r="D874" t="s">
        <v>74</v>
      </c>
      <c r="E874" t="s">
        <v>74</v>
      </c>
      <c r="F874" t="s">
        <v>13138</v>
      </c>
      <c r="G874" t="s">
        <v>74</v>
      </c>
      <c r="H874" t="s">
        <v>74</v>
      </c>
      <c r="I874" t="s">
        <v>13139</v>
      </c>
      <c r="J874" t="s">
        <v>8902</v>
      </c>
      <c r="K874" t="s">
        <v>74</v>
      </c>
      <c r="L874" t="s">
        <v>74</v>
      </c>
      <c r="M874" t="s">
        <v>77</v>
      </c>
      <c r="N874" t="s">
        <v>78</v>
      </c>
      <c r="O874" t="s">
        <v>74</v>
      </c>
      <c r="P874" t="s">
        <v>74</v>
      </c>
      <c r="Q874" t="s">
        <v>74</v>
      </c>
      <c r="R874" t="s">
        <v>74</v>
      </c>
      <c r="S874" t="s">
        <v>74</v>
      </c>
      <c r="T874" t="s">
        <v>74</v>
      </c>
      <c r="U874" t="s">
        <v>13140</v>
      </c>
      <c r="V874" t="s">
        <v>13141</v>
      </c>
      <c r="W874" t="s">
        <v>13142</v>
      </c>
      <c r="X874" t="s">
        <v>13143</v>
      </c>
      <c r="Y874" t="s">
        <v>13144</v>
      </c>
      <c r="Z874" t="s">
        <v>13145</v>
      </c>
      <c r="AA874" t="s">
        <v>74</v>
      </c>
      <c r="AB874" t="s">
        <v>13146</v>
      </c>
      <c r="AC874" t="s">
        <v>74</v>
      </c>
      <c r="AD874" t="s">
        <v>74</v>
      </c>
      <c r="AE874" t="s">
        <v>74</v>
      </c>
      <c r="AF874" t="s">
        <v>74</v>
      </c>
      <c r="AG874">
        <v>27</v>
      </c>
      <c r="AH874">
        <v>77</v>
      </c>
      <c r="AI874">
        <v>82</v>
      </c>
      <c r="AJ874">
        <v>1</v>
      </c>
      <c r="AK874">
        <v>13</v>
      </c>
      <c r="AL874" t="s">
        <v>6583</v>
      </c>
      <c r="AM874" t="s">
        <v>6584</v>
      </c>
      <c r="AN874" t="s">
        <v>6585</v>
      </c>
      <c r="AO874" t="s">
        <v>8910</v>
      </c>
      <c r="AP874" t="s">
        <v>8922</v>
      </c>
      <c r="AQ874" t="s">
        <v>74</v>
      </c>
      <c r="AR874" t="s">
        <v>8911</v>
      </c>
      <c r="AS874" t="s">
        <v>8912</v>
      </c>
      <c r="AT874" t="s">
        <v>12471</v>
      </c>
      <c r="AU874">
        <v>2005</v>
      </c>
      <c r="AV874">
        <v>35</v>
      </c>
      <c r="AW874">
        <v>8</v>
      </c>
      <c r="AX874" t="s">
        <v>74</v>
      </c>
      <c r="AY874" t="s">
        <v>74</v>
      </c>
      <c r="AZ874" t="s">
        <v>74</v>
      </c>
      <c r="BA874" t="s">
        <v>74</v>
      </c>
      <c r="BB874">
        <v>1370</v>
      </c>
      <c r="BC874">
        <v>1381</v>
      </c>
      <c r="BD874" t="s">
        <v>74</v>
      </c>
      <c r="BE874" t="s">
        <v>13147</v>
      </c>
      <c r="BF874" t="str">
        <f>HYPERLINK("http://dx.doi.org/10.1175/JPO2773.1","http://dx.doi.org/10.1175/JPO2773.1")</f>
        <v>http://dx.doi.org/10.1175/JPO2773.1</v>
      </c>
      <c r="BG874" t="s">
        <v>74</v>
      </c>
      <c r="BH874" t="s">
        <v>74</v>
      </c>
      <c r="BI874">
        <v>12</v>
      </c>
      <c r="BJ874" t="s">
        <v>629</v>
      </c>
      <c r="BK874" t="s">
        <v>98</v>
      </c>
      <c r="BL874" t="s">
        <v>629</v>
      </c>
      <c r="BM874" t="s">
        <v>13148</v>
      </c>
      <c r="BN874" t="s">
        <v>74</v>
      </c>
      <c r="BO874" t="s">
        <v>1900</v>
      </c>
      <c r="BP874" t="s">
        <v>74</v>
      </c>
      <c r="BQ874" t="s">
        <v>74</v>
      </c>
      <c r="BR874" t="s">
        <v>101</v>
      </c>
      <c r="BS874" t="s">
        <v>13149</v>
      </c>
      <c r="BT874" t="str">
        <f>HYPERLINK("https%3A%2F%2Fwww.webofscience.com%2Fwos%2Fwoscc%2Ffull-record%2FWOS:000231701400006","View Full Record in Web of Science")</f>
        <v>View Full Record in Web of Science</v>
      </c>
    </row>
    <row r="875" spans="1:72" x14ac:dyDescent="0.15">
      <c r="A875" t="s">
        <v>72</v>
      </c>
      <c r="B875" t="s">
        <v>13150</v>
      </c>
      <c r="C875" t="s">
        <v>74</v>
      </c>
      <c r="D875" t="s">
        <v>74</v>
      </c>
      <c r="E875" t="s">
        <v>74</v>
      </c>
      <c r="F875" t="s">
        <v>13150</v>
      </c>
      <c r="G875" t="s">
        <v>74</v>
      </c>
      <c r="H875" t="s">
        <v>74</v>
      </c>
      <c r="I875" t="s">
        <v>13151</v>
      </c>
      <c r="J875" t="s">
        <v>8939</v>
      </c>
      <c r="K875" t="s">
        <v>74</v>
      </c>
      <c r="L875" t="s">
        <v>74</v>
      </c>
      <c r="M875" t="s">
        <v>77</v>
      </c>
      <c r="N875" t="s">
        <v>78</v>
      </c>
      <c r="O875" t="s">
        <v>74</v>
      </c>
      <c r="P875" t="s">
        <v>74</v>
      </c>
      <c r="Q875" t="s">
        <v>74</v>
      </c>
      <c r="R875" t="s">
        <v>74</v>
      </c>
      <c r="S875" t="s">
        <v>74</v>
      </c>
      <c r="T875" t="s">
        <v>74</v>
      </c>
      <c r="U875" t="s">
        <v>13152</v>
      </c>
      <c r="V875" t="s">
        <v>13153</v>
      </c>
      <c r="W875" t="s">
        <v>13154</v>
      </c>
      <c r="X875" t="s">
        <v>13155</v>
      </c>
      <c r="Y875" t="s">
        <v>13156</v>
      </c>
      <c r="Z875" t="s">
        <v>9890</v>
      </c>
      <c r="AA875" t="s">
        <v>74</v>
      </c>
      <c r="AB875" t="s">
        <v>74</v>
      </c>
      <c r="AC875" t="s">
        <v>74</v>
      </c>
      <c r="AD875" t="s">
        <v>74</v>
      </c>
      <c r="AE875" t="s">
        <v>74</v>
      </c>
      <c r="AF875" t="s">
        <v>74</v>
      </c>
      <c r="AG875">
        <v>58</v>
      </c>
      <c r="AH875">
        <v>57</v>
      </c>
      <c r="AI875">
        <v>71</v>
      </c>
      <c r="AJ875">
        <v>0</v>
      </c>
      <c r="AK875">
        <v>15</v>
      </c>
      <c r="AL875" t="s">
        <v>1891</v>
      </c>
      <c r="AM875" t="s">
        <v>140</v>
      </c>
      <c r="AN875" t="s">
        <v>1892</v>
      </c>
      <c r="AO875" t="s">
        <v>8948</v>
      </c>
      <c r="AP875" t="s">
        <v>13157</v>
      </c>
      <c r="AQ875" t="s">
        <v>74</v>
      </c>
      <c r="AR875" t="s">
        <v>8949</v>
      </c>
      <c r="AS875" t="s">
        <v>8950</v>
      </c>
      <c r="AT875" t="s">
        <v>12471</v>
      </c>
      <c r="AU875">
        <v>2005</v>
      </c>
      <c r="AV875">
        <v>27</v>
      </c>
      <c r="AW875">
        <v>8</v>
      </c>
      <c r="AX875" t="s">
        <v>74</v>
      </c>
      <c r="AY875" t="s">
        <v>74</v>
      </c>
      <c r="AZ875" t="s">
        <v>74</v>
      </c>
      <c r="BA875" t="s">
        <v>74</v>
      </c>
      <c r="BB875">
        <v>825</v>
      </c>
      <c r="BC875">
        <v>843</v>
      </c>
      <c r="BD875" t="s">
        <v>74</v>
      </c>
      <c r="BE875" t="s">
        <v>13158</v>
      </c>
      <c r="BF875" t="str">
        <f>HYPERLINK("http://dx.doi.org/10.1093/plankt/fbi056","http://dx.doi.org/10.1093/plankt/fbi056")</f>
        <v>http://dx.doi.org/10.1093/plankt/fbi056</v>
      </c>
      <c r="BG875" t="s">
        <v>74</v>
      </c>
      <c r="BH875" t="s">
        <v>74</v>
      </c>
      <c r="BI875">
        <v>19</v>
      </c>
      <c r="BJ875" t="s">
        <v>3720</v>
      </c>
      <c r="BK875" t="s">
        <v>98</v>
      </c>
      <c r="BL875" t="s">
        <v>3720</v>
      </c>
      <c r="BM875" t="s">
        <v>13159</v>
      </c>
      <c r="BN875" t="s">
        <v>74</v>
      </c>
      <c r="BO875" t="s">
        <v>5268</v>
      </c>
      <c r="BP875" t="s">
        <v>74</v>
      </c>
      <c r="BQ875" t="s">
        <v>74</v>
      </c>
      <c r="BR875" t="s">
        <v>101</v>
      </c>
      <c r="BS875" t="s">
        <v>13160</v>
      </c>
      <c r="BT875" t="str">
        <f>HYPERLINK("https%3A%2F%2Fwww.webofscience.com%2Fwos%2Fwoscc%2Ffull-record%2FWOS:000232593000010","View Full Record in Web of Science")</f>
        <v>View Full Record in Web of Science</v>
      </c>
    </row>
    <row r="876" spans="1:72" x14ac:dyDescent="0.15">
      <c r="A876" t="s">
        <v>72</v>
      </c>
      <c r="B876" t="s">
        <v>13161</v>
      </c>
      <c r="C876" t="s">
        <v>74</v>
      </c>
      <c r="D876" t="s">
        <v>74</v>
      </c>
      <c r="E876" t="s">
        <v>74</v>
      </c>
      <c r="F876" t="s">
        <v>13161</v>
      </c>
      <c r="G876" t="s">
        <v>74</v>
      </c>
      <c r="H876" t="s">
        <v>74</v>
      </c>
      <c r="I876" t="s">
        <v>13162</v>
      </c>
      <c r="J876" t="s">
        <v>6458</v>
      </c>
      <c r="K876" t="s">
        <v>74</v>
      </c>
      <c r="L876" t="s">
        <v>74</v>
      </c>
      <c r="M876" t="s">
        <v>77</v>
      </c>
      <c r="N876" t="s">
        <v>78</v>
      </c>
      <c r="O876" t="s">
        <v>74</v>
      </c>
      <c r="P876" t="s">
        <v>74</v>
      </c>
      <c r="Q876" t="s">
        <v>74</v>
      </c>
      <c r="R876" t="s">
        <v>74</v>
      </c>
      <c r="S876" t="s">
        <v>74</v>
      </c>
      <c r="T876" t="s">
        <v>74</v>
      </c>
      <c r="U876" t="s">
        <v>13163</v>
      </c>
      <c r="V876" t="s">
        <v>13164</v>
      </c>
      <c r="W876" t="s">
        <v>13165</v>
      </c>
      <c r="X876" t="s">
        <v>13166</v>
      </c>
      <c r="Y876" t="s">
        <v>13167</v>
      </c>
      <c r="Z876" t="s">
        <v>13168</v>
      </c>
      <c r="AA876" t="s">
        <v>13169</v>
      </c>
      <c r="AB876" t="s">
        <v>13170</v>
      </c>
      <c r="AC876" t="s">
        <v>74</v>
      </c>
      <c r="AD876" t="s">
        <v>74</v>
      </c>
      <c r="AE876" t="s">
        <v>74</v>
      </c>
      <c r="AF876" t="s">
        <v>74</v>
      </c>
      <c r="AG876">
        <v>19</v>
      </c>
      <c r="AH876">
        <v>15</v>
      </c>
      <c r="AI876">
        <v>15</v>
      </c>
      <c r="AJ876">
        <v>0</v>
      </c>
      <c r="AK876">
        <v>2</v>
      </c>
      <c r="AL876" t="s">
        <v>2239</v>
      </c>
      <c r="AM876" t="s">
        <v>89</v>
      </c>
      <c r="AN876" t="s">
        <v>4047</v>
      </c>
      <c r="AO876" t="s">
        <v>6467</v>
      </c>
      <c r="AP876" t="s">
        <v>6482</v>
      </c>
      <c r="AQ876" t="s">
        <v>74</v>
      </c>
      <c r="AR876" t="s">
        <v>6468</v>
      </c>
      <c r="AS876" t="s">
        <v>6469</v>
      </c>
      <c r="AT876" t="s">
        <v>12471</v>
      </c>
      <c r="AU876">
        <v>2005</v>
      </c>
      <c r="AV876">
        <v>85</v>
      </c>
      <c r="AW876">
        <v>4</v>
      </c>
      <c r="AX876" t="s">
        <v>74</v>
      </c>
      <c r="AY876" t="s">
        <v>74</v>
      </c>
      <c r="AZ876" t="s">
        <v>74</v>
      </c>
      <c r="BA876" t="s">
        <v>74</v>
      </c>
      <c r="BB876">
        <v>795</v>
      </c>
      <c r="BC876">
        <v>800</v>
      </c>
      <c r="BD876" t="s">
        <v>74</v>
      </c>
      <c r="BE876" t="s">
        <v>13171</v>
      </c>
      <c r="BF876" t="str">
        <f>HYPERLINK("http://dx.doi.org/10.1017/S0025315405011720","http://dx.doi.org/10.1017/S0025315405011720")</f>
        <v>http://dx.doi.org/10.1017/S0025315405011720</v>
      </c>
      <c r="BG876" t="s">
        <v>74</v>
      </c>
      <c r="BH876" t="s">
        <v>74</v>
      </c>
      <c r="BI876">
        <v>6</v>
      </c>
      <c r="BJ876" t="s">
        <v>206</v>
      </c>
      <c r="BK876" t="s">
        <v>98</v>
      </c>
      <c r="BL876" t="s">
        <v>206</v>
      </c>
      <c r="BM876" t="s">
        <v>13172</v>
      </c>
      <c r="BN876" t="s">
        <v>74</v>
      </c>
      <c r="BO876" t="s">
        <v>74</v>
      </c>
      <c r="BP876" t="s">
        <v>74</v>
      </c>
      <c r="BQ876" t="s">
        <v>74</v>
      </c>
      <c r="BR876" t="s">
        <v>101</v>
      </c>
      <c r="BS876" t="s">
        <v>13173</v>
      </c>
      <c r="BT876" t="str">
        <f>HYPERLINK("https%3A%2F%2Fwww.webofscience.com%2Fwos%2Fwoscc%2Ffull-record%2FWOS:000231201300008","View Full Record in Web of Science")</f>
        <v>View Full Record in Web of Science</v>
      </c>
    </row>
    <row r="877" spans="1:72" x14ac:dyDescent="0.15">
      <c r="A877" t="s">
        <v>72</v>
      </c>
      <c r="B877" t="s">
        <v>13174</v>
      </c>
      <c r="C877" t="s">
        <v>74</v>
      </c>
      <c r="D877" t="s">
        <v>74</v>
      </c>
      <c r="E877" t="s">
        <v>74</v>
      </c>
      <c r="F877" t="s">
        <v>13174</v>
      </c>
      <c r="G877" t="s">
        <v>74</v>
      </c>
      <c r="H877" t="s">
        <v>74</v>
      </c>
      <c r="I877" t="s">
        <v>13175</v>
      </c>
      <c r="J877" t="s">
        <v>6458</v>
      </c>
      <c r="K877" t="s">
        <v>74</v>
      </c>
      <c r="L877" t="s">
        <v>74</v>
      </c>
      <c r="M877" t="s">
        <v>77</v>
      </c>
      <c r="N877" t="s">
        <v>78</v>
      </c>
      <c r="O877" t="s">
        <v>74</v>
      </c>
      <c r="P877" t="s">
        <v>74</v>
      </c>
      <c r="Q877" t="s">
        <v>74</v>
      </c>
      <c r="R877" t="s">
        <v>74</v>
      </c>
      <c r="S877" t="s">
        <v>74</v>
      </c>
      <c r="T877" t="s">
        <v>74</v>
      </c>
      <c r="U877" t="s">
        <v>13176</v>
      </c>
      <c r="V877" t="s">
        <v>13177</v>
      </c>
      <c r="W877" t="s">
        <v>13178</v>
      </c>
      <c r="X877" t="s">
        <v>13179</v>
      </c>
      <c r="Y877" t="s">
        <v>13180</v>
      </c>
      <c r="Z877" t="s">
        <v>13181</v>
      </c>
      <c r="AA877" t="s">
        <v>74</v>
      </c>
      <c r="AB877" t="s">
        <v>13182</v>
      </c>
      <c r="AC877" t="s">
        <v>74</v>
      </c>
      <c r="AD877" t="s">
        <v>74</v>
      </c>
      <c r="AE877" t="s">
        <v>74</v>
      </c>
      <c r="AF877" t="s">
        <v>74</v>
      </c>
      <c r="AG877">
        <v>10</v>
      </c>
      <c r="AH877">
        <v>6</v>
      </c>
      <c r="AI877">
        <v>6</v>
      </c>
      <c r="AJ877">
        <v>1</v>
      </c>
      <c r="AK877">
        <v>11</v>
      </c>
      <c r="AL877" t="s">
        <v>2239</v>
      </c>
      <c r="AM877" t="s">
        <v>89</v>
      </c>
      <c r="AN877" t="s">
        <v>4047</v>
      </c>
      <c r="AO877" t="s">
        <v>6467</v>
      </c>
      <c r="AP877" t="s">
        <v>6482</v>
      </c>
      <c r="AQ877" t="s">
        <v>74</v>
      </c>
      <c r="AR877" t="s">
        <v>6468</v>
      </c>
      <c r="AS877" t="s">
        <v>6469</v>
      </c>
      <c r="AT877" t="s">
        <v>12471</v>
      </c>
      <c r="AU877">
        <v>2005</v>
      </c>
      <c r="AV877">
        <v>85</v>
      </c>
      <c r="AW877">
        <v>4</v>
      </c>
      <c r="AX877" t="s">
        <v>74</v>
      </c>
      <c r="AY877" t="s">
        <v>74</v>
      </c>
      <c r="AZ877" t="s">
        <v>74</v>
      </c>
      <c r="BA877" t="s">
        <v>74</v>
      </c>
      <c r="BB877">
        <v>843</v>
      </c>
      <c r="BC877">
        <v>846</v>
      </c>
      <c r="BD877" t="s">
        <v>74</v>
      </c>
      <c r="BE877" t="s">
        <v>13183</v>
      </c>
      <c r="BF877" t="str">
        <f>HYPERLINK("http://dx.doi.org/10.1017/S0025315405011793","http://dx.doi.org/10.1017/S0025315405011793")</f>
        <v>http://dx.doi.org/10.1017/S0025315405011793</v>
      </c>
      <c r="BG877" t="s">
        <v>74</v>
      </c>
      <c r="BH877" t="s">
        <v>74</v>
      </c>
      <c r="BI877">
        <v>4</v>
      </c>
      <c r="BJ877" t="s">
        <v>206</v>
      </c>
      <c r="BK877" t="s">
        <v>98</v>
      </c>
      <c r="BL877" t="s">
        <v>206</v>
      </c>
      <c r="BM877" t="s">
        <v>13172</v>
      </c>
      <c r="BN877" t="s">
        <v>74</v>
      </c>
      <c r="BO877" t="s">
        <v>74</v>
      </c>
      <c r="BP877" t="s">
        <v>74</v>
      </c>
      <c r="BQ877" t="s">
        <v>74</v>
      </c>
      <c r="BR877" t="s">
        <v>101</v>
      </c>
      <c r="BS877" t="s">
        <v>13184</v>
      </c>
      <c r="BT877" t="str">
        <f>HYPERLINK("https%3A%2F%2Fwww.webofscience.com%2Fwos%2Fwoscc%2Ffull-record%2FWOS:000231201300015","View Full Record in Web of Science")</f>
        <v>View Full Record in Web of Science</v>
      </c>
    </row>
    <row r="878" spans="1:72" x14ac:dyDescent="0.15">
      <c r="A878" t="s">
        <v>72</v>
      </c>
      <c r="B878" t="s">
        <v>13185</v>
      </c>
      <c r="C878" t="s">
        <v>74</v>
      </c>
      <c r="D878" t="s">
        <v>74</v>
      </c>
      <c r="E878" t="s">
        <v>74</v>
      </c>
      <c r="F878" t="s">
        <v>13185</v>
      </c>
      <c r="G878" t="s">
        <v>74</v>
      </c>
      <c r="H878" t="s">
        <v>74</v>
      </c>
      <c r="I878" t="s">
        <v>13186</v>
      </c>
      <c r="J878" t="s">
        <v>6505</v>
      </c>
      <c r="K878" t="s">
        <v>74</v>
      </c>
      <c r="L878" t="s">
        <v>74</v>
      </c>
      <c r="M878" t="s">
        <v>77</v>
      </c>
      <c r="N878" t="s">
        <v>78</v>
      </c>
      <c r="O878" t="s">
        <v>74</v>
      </c>
      <c r="P878" t="s">
        <v>74</v>
      </c>
      <c r="Q878" t="s">
        <v>74</v>
      </c>
      <c r="R878" t="s">
        <v>74</v>
      </c>
      <c r="S878" t="s">
        <v>74</v>
      </c>
      <c r="T878" t="s">
        <v>74</v>
      </c>
      <c r="U878" t="s">
        <v>13187</v>
      </c>
      <c r="V878" t="s">
        <v>13188</v>
      </c>
      <c r="W878" t="s">
        <v>801</v>
      </c>
      <c r="X878" t="s">
        <v>788</v>
      </c>
      <c r="Y878" t="s">
        <v>3055</v>
      </c>
      <c r="Z878" t="s">
        <v>931</v>
      </c>
      <c r="AA878" t="s">
        <v>74</v>
      </c>
      <c r="AB878" t="s">
        <v>74</v>
      </c>
      <c r="AC878" t="s">
        <v>74</v>
      </c>
      <c r="AD878" t="s">
        <v>74</v>
      </c>
      <c r="AE878" t="s">
        <v>74</v>
      </c>
      <c r="AF878" t="s">
        <v>74</v>
      </c>
      <c r="AG878">
        <v>78</v>
      </c>
      <c r="AH878">
        <v>13</v>
      </c>
      <c r="AI878">
        <v>13</v>
      </c>
      <c r="AJ878">
        <v>0</v>
      </c>
      <c r="AK878">
        <v>12</v>
      </c>
      <c r="AL878" t="s">
        <v>6514</v>
      </c>
      <c r="AM878" t="s">
        <v>6515</v>
      </c>
      <c r="AN878" t="s">
        <v>6516</v>
      </c>
      <c r="AO878" t="s">
        <v>6517</v>
      </c>
      <c r="AP878" t="s">
        <v>6518</v>
      </c>
      <c r="AQ878" t="s">
        <v>74</v>
      </c>
      <c r="AR878" t="s">
        <v>6519</v>
      </c>
      <c r="AS878" t="s">
        <v>6520</v>
      </c>
      <c r="AT878" t="s">
        <v>12471</v>
      </c>
      <c r="AU878">
        <v>2005</v>
      </c>
      <c r="AV878">
        <v>147</v>
      </c>
      <c r="AW878">
        <v>4</v>
      </c>
      <c r="AX878" t="s">
        <v>74</v>
      </c>
      <c r="AY878" t="s">
        <v>74</v>
      </c>
      <c r="AZ878" t="s">
        <v>74</v>
      </c>
      <c r="BA878" t="s">
        <v>74</v>
      </c>
      <c r="BB878">
        <v>979</v>
      </c>
      <c r="BC878">
        <v>988</v>
      </c>
      <c r="BD878" t="s">
        <v>74</v>
      </c>
      <c r="BE878" t="s">
        <v>13189</v>
      </c>
      <c r="BF878" t="str">
        <f>HYPERLINK("http://dx.doi.org/10.1007/s00227-005-1628-3","http://dx.doi.org/10.1007/s00227-005-1628-3")</f>
        <v>http://dx.doi.org/10.1007/s00227-005-1628-3</v>
      </c>
      <c r="BG878" t="s">
        <v>74</v>
      </c>
      <c r="BH878" t="s">
        <v>74</v>
      </c>
      <c r="BI878">
        <v>10</v>
      </c>
      <c r="BJ878" t="s">
        <v>206</v>
      </c>
      <c r="BK878" t="s">
        <v>98</v>
      </c>
      <c r="BL878" t="s">
        <v>206</v>
      </c>
      <c r="BM878" t="s">
        <v>13190</v>
      </c>
      <c r="BN878" t="s">
        <v>74</v>
      </c>
      <c r="BO878" t="s">
        <v>74</v>
      </c>
      <c r="BP878" t="s">
        <v>74</v>
      </c>
      <c r="BQ878" t="s">
        <v>74</v>
      </c>
      <c r="BR878" t="s">
        <v>101</v>
      </c>
      <c r="BS878" t="s">
        <v>13191</v>
      </c>
      <c r="BT878" t="str">
        <f>HYPERLINK("https%3A%2F%2Fwww.webofscience.com%2Fwos%2Fwoscc%2Ffull-record%2FWOS:000230963900015","View Full Record in Web of Science")</f>
        <v>View Full Record in Web of Science</v>
      </c>
    </row>
    <row r="879" spans="1:72" x14ac:dyDescent="0.15">
      <c r="A879" t="s">
        <v>72</v>
      </c>
      <c r="B879" t="s">
        <v>13192</v>
      </c>
      <c r="C879" t="s">
        <v>74</v>
      </c>
      <c r="D879" t="s">
        <v>74</v>
      </c>
      <c r="E879" t="s">
        <v>74</v>
      </c>
      <c r="F879" t="s">
        <v>13192</v>
      </c>
      <c r="G879" t="s">
        <v>74</v>
      </c>
      <c r="H879" t="s">
        <v>74</v>
      </c>
      <c r="I879" t="s">
        <v>13193</v>
      </c>
      <c r="J879" t="s">
        <v>11652</v>
      </c>
      <c r="K879" t="s">
        <v>74</v>
      </c>
      <c r="L879" t="s">
        <v>74</v>
      </c>
      <c r="M879" t="s">
        <v>77</v>
      </c>
      <c r="N879" t="s">
        <v>289</v>
      </c>
      <c r="O879" t="s">
        <v>74</v>
      </c>
      <c r="P879" t="s">
        <v>74</v>
      </c>
      <c r="Q879" t="s">
        <v>74</v>
      </c>
      <c r="R879" t="s">
        <v>74</v>
      </c>
      <c r="S879" t="s">
        <v>74</v>
      </c>
      <c r="T879" t="s">
        <v>74</v>
      </c>
      <c r="U879" t="s">
        <v>13194</v>
      </c>
      <c r="V879" t="s">
        <v>13195</v>
      </c>
      <c r="W879" t="s">
        <v>13196</v>
      </c>
      <c r="X879" t="s">
        <v>13197</v>
      </c>
      <c r="Y879" t="s">
        <v>13198</v>
      </c>
      <c r="Z879" t="s">
        <v>13199</v>
      </c>
      <c r="AA879" t="s">
        <v>13200</v>
      </c>
      <c r="AB879" t="s">
        <v>13201</v>
      </c>
      <c r="AC879" t="s">
        <v>74</v>
      </c>
      <c r="AD879" t="s">
        <v>74</v>
      </c>
      <c r="AE879" t="s">
        <v>74</v>
      </c>
      <c r="AF879" t="s">
        <v>74</v>
      </c>
      <c r="AG879">
        <v>157</v>
      </c>
      <c r="AH879">
        <v>219</v>
      </c>
      <c r="AI879">
        <v>247</v>
      </c>
      <c r="AJ879">
        <v>9</v>
      </c>
      <c r="AK879">
        <v>130</v>
      </c>
      <c r="AL879" t="s">
        <v>88</v>
      </c>
      <c r="AM879" t="s">
        <v>89</v>
      </c>
      <c r="AN879" t="s">
        <v>90</v>
      </c>
      <c r="AO879" t="s">
        <v>11662</v>
      </c>
      <c r="AP879" t="s">
        <v>11663</v>
      </c>
      <c r="AQ879" t="s">
        <v>74</v>
      </c>
      <c r="AR879" t="s">
        <v>11664</v>
      </c>
      <c r="AS879" t="s">
        <v>11665</v>
      </c>
      <c r="AT879" t="s">
        <v>12471</v>
      </c>
      <c r="AU879">
        <v>2005</v>
      </c>
      <c r="AV879">
        <v>7</v>
      </c>
      <c r="AW879">
        <v>4</v>
      </c>
      <c r="AX879" t="s">
        <v>74</v>
      </c>
      <c r="AY879" t="s">
        <v>74</v>
      </c>
      <c r="AZ879" t="s">
        <v>74</v>
      </c>
      <c r="BA879" t="s">
        <v>74</v>
      </c>
      <c r="BB879">
        <v>253</v>
      </c>
      <c r="BC879">
        <v>271</v>
      </c>
      <c r="BD879" t="s">
        <v>74</v>
      </c>
      <c r="BE879" t="s">
        <v>13202</v>
      </c>
      <c r="BF879" t="str">
        <f>HYPERLINK("http://dx.doi.org/10.1007/s10126-004-5118-2","http://dx.doi.org/10.1007/s10126-004-5118-2")</f>
        <v>http://dx.doi.org/10.1007/s10126-004-5118-2</v>
      </c>
      <c r="BG879" t="s">
        <v>74</v>
      </c>
      <c r="BH879" t="s">
        <v>74</v>
      </c>
      <c r="BI879">
        <v>19</v>
      </c>
      <c r="BJ879" t="s">
        <v>11667</v>
      </c>
      <c r="BK879" t="s">
        <v>98</v>
      </c>
      <c r="BL879" t="s">
        <v>11667</v>
      </c>
      <c r="BM879" t="s">
        <v>13203</v>
      </c>
      <c r="BN879">
        <v>16075348</v>
      </c>
      <c r="BO879" t="s">
        <v>534</v>
      </c>
      <c r="BP879" t="s">
        <v>74</v>
      </c>
      <c r="BQ879" t="s">
        <v>74</v>
      </c>
      <c r="BR879" t="s">
        <v>101</v>
      </c>
      <c r="BS879" t="s">
        <v>13204</v>
      </c>
      <c r="BT879" t="str">
        <f>HYPERLINK("https%3A%2F%2Fwww.webofscience.com%2Fwos%2Fwoscc%2Ffull-record%2FWOS:000231503200001","View Full Record in Web of Science")</f>
        <v>View Full Record in Web of Science</v>
      </c>
    </row>
    <row r="880" spans="1:72" x14ac:dyDescent="0.15">
      <c r="A880" t="s">
        <v>72</v>
      </c>
      <c r="B880" t="s">
        <v>13205</v>
      </c>
      <c r="C880" t="s">
        <v>74</v>
      </c>
      <c r="D880" t="s">
        <v>74</v>
      </c>
      <c r="E880" t="s">
        <v>74</v>
      </c>
      <c r="F880" t="s">
        <v>13205</v>
      </c>
      <c r="G880" t="s">
        <v>74</v>
      </c>
      <c r="H880" t="s">
        <v>74</v>
      </c>
      <c r="I880" t="s">
        <v>13206</v>
      </c>
      <c r="J880" t="s">
        <v>5272</v>
      </c>
      <c r="K880" t="s">
        <v>74</v>
      </c>
      <c r="L880" t="s">
        <v>74</v>
      </c>
      <c r="M880" t="s">
        <v>77</v>
      </c>
      <c r="N880" t="s">
        <v>78</v>
      </c>
      <c r="O880" t="s">
        <v>74</v>
      </c>
      <c r="P880" t="s">
        <v>74</v>
      </c>
      <c r="Q880" t="s">
        <v>74</v>
      </c>
      <c r="R880" t="s">
        <v>74</v>
      </c>
      <c r="S880" t="s">
        <v>74</v>
      </c>
      <c r="T880" t="s">
        <v>13207</v>
      </c>
      <c r="U880" t="s">
        <v>13208</v>
      </c>
      <c r="V880" t="s">
        <v>13209</v>
      </c>
      <c r="W880" t="s">
        <v>13210</v>
      </c>
      <c r="X880" t="s">
        <v>13211</v>
      </c>
      <c r="Y880" t="s">
        <v>13212</v>
      </c>
      <c r="Z880" t="s">
        <v>13213</v>
      </c>
      <c r="AA880" t="s">
        <v>74</v>
      </c>
      <c r="AB880" t="s">
        <v>74</v>
      </c>
      <c r="AC880" t="s">
        <v>74</v>
      </c>
      <c r="AD880" t="s">
        <v>74</v>
      </c>
      <c r="AE880" t="s">
        <v>74</v>
      </c>
      <c r="AF880" t="s">
        <v>74</v>
      </c>
      <c r="AG880">
        <v>70</v>
      </c>
      <c r="AH880">
        <v>16</v>
      </c>
      <c r="AI880">
        <v>18</v>
      </c>
      <c r="AJ880">
        <v>1</v>
      </c>
      <c r="AK880">
        <v>3</v>
      </c>
      <c r="AL880" t="s">
        <v>1147</v>
      </c>
      <c r="AM880" t="s">
        <v>1148</v>
      </c>
      <c r="AN880" t="s">
        <v>1149</v>
      </c>
      <c r="AO880" t="s">
        <v>5280</v>
      </c>
      <c r="AP880" t="s">
        <v>74</v>
      </c>
      <c r="AQ880" t="s">
        <v>74</v>
      </c>
      <c r="AR880" t="s">
        <v>5282</v>
      </c>
      <c r="AS880" t="s">
        <v>5283</v>
      </c>
      <c r="AT880" t="s">
        <v>12471</v>
      </c>
      <c r="AU880">
        <v>2005</v>
      </c>
      <c r="AV880">
        <v>56</v>
      </c>
      <c r="AW880" t="s">
        <v>530</v>
      </c>
      <c r="AX880" t="s">
        <v>74</v>
      </c>
      <c r="AY880" t="s">
        <v>74</v>
      </c>
      <c r="AZ880" t="s">
        <v>74</v>
      </c>
      <c r="BA880" t="s">
        <v>74</v>
      </c>
      <c r="BB880">
        <v>103</v>
      </c>
      <c r="BC880">
        <v>121</v>
      </c>
      <c r="BD880" t="s">
        <v>74</v>
      </c>
      <c r="BE880" t="s">
        <v>13214</v>
      </c>
      <c r="BF880" t="str">
        <f>HYPERLINK("http://dx.doi.org/10.1016/j.marmicro.2005.03.006","http://dx.doi.org/10.1016/j.marmicro.2005.03.006")</f>
        <v>http://dx.doi.org/10.1016/j.marmicro.2005.03.006</v>
      </c>
      <c r="BG880" t="s">
        <v>74</v>
      </c>
      <c r="BH880" t="s">
        <v>74</v>
      </c>
      <c r="BI880">
        <v>19</v>
      </c>
      <c r="BJ880" t="s">
        <v>487</v>
      </c>
      <c r="BK880" t="s">
        <v>98</v>
      </c>
      <c r="BL880" t="s">
        <v>487</v>
      </c>
      <c r="BM880" t="s">
        <v>13215</v>
      </c>
      <c r="BN880" t="s">
        <v>74</v>
      </c>
      <c r="BO880" t="s">
        <v>74</v>
      </c>
      <c r="BP880" t="s">
        <v>74</v>
      </c>
      <c r="BQ880" t="s">
        <v>74</v>
      </c>
      <c r="BR880" t="s">
        <v>101</v>
      </c>
      <c r="BS880" t="s">
        <v>13216</v>
      </c>
      <c r="BT880" t="str">
        <f>HYPERLINK("https%3A%2F%2Fwww.webofscience.com%2Fwos%2Fwoscc%2Ffull-record%2FWOS:000231038800002","View Full Record in Web of Science")</f>
        <v>View Full Record in Web of Science</v>
      </c>
    </row>
    <row r="881" spans="1:72" x14ac:dyDescent="0.15">
      <c r="A881" t="s">
        <v>72</v>
      </c>
      <c r="B881" t="s">
        <v>13217</v>
      </c>
      <c r="C881" t="s">
        <v>74</v>
      </c>
      <c r="D881" t="s">
        <v>74</v>
      </c>
      <c r="E881" t="s">
        <v>74</v>
      </c>
      <c r="F881" t="s">
        <v>13217</v>
      </c>
      <c r="G881" t="s">
        <v>74</v>
      </c>
      <c r="H881" t="s">
        <v>74</v>
      </c>
      <c r="I881" t="s">
        <v>13218</v>
      </c>
      <c r="J881" t="s">
        <v>5272</v>
      </c>
      <c r="K881" t="s">
        <v>74</v>
      </c>
      <c r="L881" t="s">
        <v>74</v>
      </c>
      <c r="M881" t="s">
        <v>77</v>
      </c>
      <c r="N881" t="s">
        <v>78</v>
      </c>
      <c r="O881" t="s">
        <v>74</v>
      </c>
      <c r="P881" t="s">
        <v>74</v>
      </c>
      <c r="Q881" t="s">
        <v>74</v>
      </c>
      <c r="R881" t="s">
        <v>74</v>
      </c>
      <c r="S881" t="s">
        <v>74</v>
      </c>
      <c r="T881" t="s">
        <v>13219</v>
      </c>
      <c r="U881" t="s">
        <v>13220</v>
      </c>
      <c r="V881" t="s">
        <v>13221</v>
      </c>
      <c r="W881" t="s">
        <v>13222</v>
      </c>
      <c r="X881" t="s">
        <v>13223</v>
      </c>
      <c r="Y881" t="s">
        <v>13224</v>
      </c>
      <c r="Z881" t="s">
        <v>74</v>
      </c>
      <c r="AA881" t="s">
        <v>74</v>
      </c>
      <c r="AB881" t="s">
        <v>74</v>
      </c>
      <c r="AC881" t="s">
        <v>74</v>
      </c>
      <c r="AD881" t="s">
        <v>74</v>
      </c>
      <c r="AE881" t="s">
        <v>74</v>
      </c>
      <c r="AF881" t="s">
        <v>74</v>
      </c>
      <c r="AG881">
        <v>54</v>
      </c>
      <c r="AH881">
        <v>35</v>
      </c>
      <c r="AI881">
        <v>36</v>
      </c>
      <c r="AJ881">
        <v>0</v>
      </c>
      <c r="AK881">
        <v>11</v>
      </c>
      <c r="AL881" t="s">
        <v>1147</v>
      </c>
      <c r="AM881" t="s">
        <v>1148</v>
      </c>
      <c r="AN881" t="s">
        <v>1149</v>
      </c>
      <c r="AO881" t="s">
        <v>5280</v>
      </c>
      <c r="AP881" t="s">
        <v>5281</v>
      </c>
      <c r="AQ881" t="s">
        <v>74</v>
      </c>
      <c r="AR881" t="s">
        <v>5282</v>
      </c>
      <c r="AS881" t="s">
        <v>5283</v>
      </c>
      <c r="AT881" t="s">
        <v>12471</v>
      </c>
      <c r="AU881">
        <v>2005</v>
      </c>
      <c r="AV881">
        <v>56</v>
      </c>
      <c r="AW881" t="s">
        <v>530</v>
      </c>
      <c r="AX881" t="s">
        <v>74</v>
      </c>
      <c r="AY881" t="s">
        <v>74</v>
      </c>
      <c r="AZ881" t="s">
        <v>74</v>
      </c>
      <c r="BA881" t="s">
        <v>74</v>
      </c>
      <c r="BB881">
        <v>122</v>
      </c>
      <c r="BC881">
        <v>137</v>
      </c>
      <c r="BD881" t="s">
        <v>74</v>
      </c>
      <c r="BE881" t="s">
        <v>13225</v>
      </c>
      <c r="BF881" t="str">
        <f>HYPERLINK("http://dx.doi.org/10.1016/j.marmicro.2005.05.001","http://dx.doi.org/10.1016/j.marmicro.2005.05.001")</f>
        <v>http://dx.doi.org/10.1016/j.marmicro.2005.05.001</v>
      </c>
      <c r="BG881" t="s">
        <v>74</v>
      </c>
      <c r="BH881" t="s">
        <v>74</v>
      </c>
      <c r="BI881">
        <v>16</v>
      </c>
      <c r="BJ881" t="s">
        <v>487</v>
      </c>
      <c r="BK881" t="s">
        <v>98</v>
      </c>
      <c r="BL881" t="s">
        <v>487</v>
      </c>
      <c r="BM881" t="s">
        <v>13215</v>
      </c>
      <c r="BN881" t="s">
        <v>74</v>
      </c>
      <c r="BO881" t="s">
        <v>74</v>
      </c>
      <c r="BP881" t="s">
        <v>74</v>
      </c>
      <c r="BQ881" t="s">
        <v>74</v>
      </c>
      <c r="BR881" t="s">
        <v>101</v>
      </c>
      <c r="BS881" t="s">
        <v>13226</v>
      </c>
      <c r="BT881" t="str">
        <f>HYPERLINK("https%3A%2F%2Fwww.webofscience.com%2Fwos%2Fwoscc%2Ffull-record%2FWOS:000231038800003","View Full Record in Web of Science")</f>
        <v>View Full Record in Web of Science</v>
      </c>
    </row>
    <row r="882" spans="1:72" x14ac:dyDescent="0.15">
      <c r="A882" t="s">
        <v>72</v>
      </c>
      <c r="B882" t="s">
        <v>13227</v>
      </c>
      <c r="C882" t="s">
        <v>74</v>
      </c>
      <c r="D882" t="s">
        <v>74</v>
      </c>
      <c r="E882" t="s">
        <v>74</v>
      </c>
      <c r="F882" t="s">
        <v>13227</v>
      </c>
      <c r="G882" t="s">
        <v>74</v>
      </c>
      <c r="H882" t="s">
        <v>74</v>
      </c>
      <c r="I882" t="s">
        <v>13228</v>
      </c>
      <c r="J882" t="s">
        <v>3232</v>
      </c>
      <c r="K882" t="s">
        <v>74</v>
      </c>
      <c r="L882" t="s">
        <v>74</v>
      </c>
      <c r="M882" t="s">
        <v>77</v>
      </c>
      <c r="N882" t="s">
        <v>78</v>
      </c>
      <c r="O882" t="s">
        <v>74</v>
      </c>
      <c r="P882" t="s">
        <v>74</v>
      </c>
      <c r="Q882" t="s">
        <v>74</v>
      </c>
      <c r="R882" t="s">
        <v>74</v>
      </c>
      <c r="S882" t="s">
        <v>74</v>
      </c>
      <c r="T882" t="s">
        <v>74</v>
      </c>
      <c r="U882" t="s">
        <v>13229</v>
      </c>
      <c r="V882" t="s">
        <v>13230</v>
      </c>
      <c r="W882" t="s">
        <v>13231</v>
      </c>
      <c r="X882" t="s">
        <v>3236</v>
      </c>
      <c r="Y882" t="s">
        <v>13232</v>
      </c>
      <c r="Z882" t="s">
        <v>3238</v>
      </c>
      <c r="AA882" t="s">
        <v>74</v>
      </c>
      <c r="AB882" t="s">
        <v>13233</v>
      </c>
      <c r="AC882" t="s">
        <v>74</v>
      </c>
      <c r="AD882" t="s">
        <v>74</v>
      </c>
      <c r="AE882" t="s">
        <v>74</v>
      </c>
      <c r="AF882" t="s">
        <v>74</v>
      </c>
      <c r="AG882">
        <v>26</v>
      </c>
      <c r="AH882">
        <v>27</v>
      </c>
      <c r="AI882">
        <v>28</v>
      </c>
      <c r="AJ882">
        <v>0</v>
      </c>
      <c r="AK882">
        <v>1</v>
      </c>
      <c r="AL882" t="s">
        <v>5928</v>
      </c>
      <c r="AM882" t="s">
        <v>12696</v>
      </c>
      <c r="AN882" t="s">
        <v>12697</v>
      </c>
      <c r="AO882" t="s">
        <v>3242</v>
      </c>
      <c r="AP882" t="s">
        <v>74</v>
      </c>
      <c r="AQ882" t="s">
        <v>74</v>
      </c>
      <c r="AR882" t="s">
        <v>3243</v>
      </c>
      <c r="AS882" t="s">
        <v>3244</v>
      </c>
      <c r="AT882" t="s">
        <v>12471</v>
      </c>
      <c r="AU882">
        <v>2005</v>
      </c>
      <c r="AV882">
        <v>40</v>
      </c>
      <c r="AW882">
        <v>8</v>
      </c>
      <c r="AX882" t="s">
        <v>74</v>
      </c>
      <c r="AY882" t="s">
        <v>74</v>
      </c>
      <c r="AZ882" t="s">
        <v>74</v>
      </c>
      <c r="BA882" t="s">
        <v>74</v>
      </c>
      <c r="BB882">
        <v>1123</v>
      </c>
      <c r="BC882">
        <v>1130</v>
      </c>
      <c r="BD882" t="s">
        <v>74</v>
      </c>
      <c r="BE882" t="s">
        <v>13234</v>
      </c>
      <c r="BF882" t="str">
        <f>HYPERLINK("http://dx.doi.org/10.1111/j.1945-5100.2005.tb00178.x","http://dx.doi.org/10.1111/j.1945-5100.2005.tb00178.x")</f>
        <v>http://dx.doi.org/10.1111/j.1945-5100.2005.tb00178.x</v>
      </c>
      <c r="BG882" t="s">
        <v>74</v>
      </c>
      <c r="BH882" t="s">
        <v>74</v>
      </c>
      <c r="BI882">
        <v>8</v>
      </c>
      <c r="BJ882" t="s">
        <v>1348</v>
      </c>
      <c r="BK882" t="s">
        <v>98</v>
      </c>
      <c r="BL882" t="s">
        <v>1348</v>
      </c>
      <c r="BM882" t="s">
        <v>13235</v>
      </c>
      <c r="BN882" t="s">
        <v>74</v>
      </c>
      <c r="BO882" t="s">
        <v>1900</v>
      </c>
      <c r="BP882" t="s">
        <v>74</v>
      </c>
      <c r="BQ882" t="s">
        <v>74</v>
      </c>
      <c r="BR882" t="s">
        <v>101</v>
      </c>
      <c r="BS882" t="s">
        <v>13236</v>
      </c>
      <c r="BT882" t="str">
        <f>HYPERLINK("https%3A%2F%2Fwww.webofscience.com%2Fwos%2Fwoscc%2Ffull-record%2FWOS:000232753100001","View Full Record in Web of Science")</f>
        <v>View Full Record in Web of Science</v>
      </c>
    </row>
    <row r="883" spans="1:72" x14ac:dyDescent="0.15">
      <c r="A883" t="s">
        <v>72</v>
      </c>
      <c r="B883" t="s">
        <v>13237</v>
      </c>
      <c r="C883" t="s">
        <v>74</v>
      </c>
      <c r="D883" t="s">
        <v>74</v>
      </c>
      <c r="E883" t="s">
        <v>74</v>
      </c>
      <c r="F883" t="s">
        <v>13237</v>
      </c>
      <c r="G883" t="s">
        <v>74</v>
      </c>
      <c r="H883" t="s">
        <v>74</v>
      </c>
      <c r="I883" t="s">
        <v>13238</v>
      </c>
      <c r="J883" t="s">
        <v>6571</v>
      </c>
      <c r="K883" t="s">
        <v>74</v>
      </c>
      <c r="L883" t="s">
        <v>74</v>
      </c>
      <c r="M883" t="s">
        <v>77</v>
      </c>
      <c r="N883" t="s">
        <v>78</v>
      </c>
      <c r="O883" t="s">
        <v>74</v>
      </c>
      <c r="P883" t="s">
        <v>74</v>
      </c>
      <c r="Q883" t="s">
        <v>74</v>
      </c>
      <c r="R883" t="s">
        <v>74</v>
      </c>
      <c r="S883" t="s">
        <v>74</v>
      </c>
      <c r="T883" t="s">
        <v>74</v>
      </c>
      <c r="U883" t="s">
        <v>13239</v>
      </c>
      <c r="V883" t="s">
        <v>13240</v>
      </c>
      <c r="W883" t="s">
        <v>13241</v>
      </c>
      <c r="X883" t="s">
        <v>10441</v>
      </c>
      <c r="Y883" t="s">
        <v>13242</v>
      </c>
      <c r="Z883" t="s">
        <v>13243</v>
      </c>
      <c r="AA883" t="s">
        <v>74</v>
      </c>
      <c r="AB883" t="s">
        <v>13244</v>
      </c>
      <c r="AC883" t="s">
        <v>74</v>
      </c>
      <c r="AD883" t="s">
        <v>74</v>
      </c>
      <c r="AE883" t="s">
        <v>74</v>
      </c>
      <c r="AF883" t="s">
        <v>74</v>
      </c>
      <c r="AG883">
        <v>42</v>
      </c>
      <c r="AH883">
        <v>6</v>
      </c>
      <c r="AI883">
        <v>6</v>
      </c>
      <c r="AJ883">
        <v>0</v>
      </c>
      <c r="AK883">
        <v>7</v>
      </c>
      <c r="AL883" t="s">
        <v>6583</v>
      </c>
      <c r="AM883" t="s">
        <v>6584</v>
      </c>
      <c r="AN883" t="s">
        <v>6585</v>
      </c>
      <c r="AO883" t="s">
        <v>6586</v>
      </c>
      <c r="AP883" t="s">
        <v>6599</v>
      </c>
      <c r="AQ883" t="s">
        <v>74</v>
      </c>
      <c r="AR883" t="s">
        <v>6587</v>
      </c>
      <c r="AS883" t="s">
        <v>6588</v>
      </c>
      <c r="AT883" t="s">
        <v>12471</v>
      </c>
      <c r="AU883">
        <v>2005</v>
      </c>
      <c r="AV883">
        <v>133</v>
      </c>
      <c r="AW883">
        <v>8</v>
      </c>
      <c r="AX883" t="s">
        <v>74</v>
      </c>
      <c r="AY883" t="s">
        <v>74</v>
      </c>
      <c r="AZ883" t="s">
        <v>74</v>
      </c>
      <c r="BA883" t="s">
        <v>74</v>
      </c>
      <c r="BB883">
        <v>2374</v>
      </c>
      <c r="BC883">
        <v>2386</v>
      </c>
      <c r="BD883" t="s">
        <v>74</v>
      </c>
      <c r="BE883" t="s">
        <v>13245</v>
      </c>
      <c r="BF883" t="str">
        <f>HYPERLINK("http://dx.doi.org/10.1175/MWR2977.1","http://dx.doi.org/10.1175/MWR2977.1")</f>
        <v>http://dx.doi.org/10.1175/MWR2977.1</v>
      </c>
      <c r="BG883" t="s">
        <v>74</v>
      </c>
      <c r="BH883" t="s">
        <v>74</v>
      </c>
      <c r="BI883">
        <v>13</v>
      </c>
      <c r="BJ883" t="s">
        <v>2033</v>
      </c>
      <c r="BK883" t="s">
        <v>98</v>
      </c>
      <c r="BL883" t="s">
        <v>2033</v>
      </c>
      <c r="BM883" t="s">
        <v>13246</v>
      </c>
      <c r="BN883" t="s">
        <v>74</v>
      </c>
      <c r="BO883" t="s">
        <v>5268</v>
      </c>
      <c r="BP883" t="s">
        <v>74</v>
      </c>
      <c r="BQ883" t="s">
        <v>74</v>
      </c>
      <c r="BR883" t="s">
        <v>101</v>
      </c>
      <c r="BS883" t="s">
        <v>13247</v>
      </c>
      <c r="BT883" t="str">
        <f>HYPERLINK("https%3A%2F%2Fwww.webofscience.com%2Fwos%2Fwoscc%2Ffull-record%2FWOS:000231250500016","View Full Record in Web of Science")</f>
        <v>View Full Record in Web of Science</v>
      </c>
    </row>
    <row r="884" spans="1:72" x14ac:dyDescent="0.15">
      <c r="A884" t="s">
        <v>72</v>
      </c>
      <c r="B884" t="s">
        <v>13248</v>
      </c>
      <c r="C884" t="s">
        <v>74</v>
      </c>
      <c r="D884" t="s">
        <v>74</v>
      </c>
      <c r="E884" t="s">
        <v>74</v>
      </c>
      <c r="F884" t="s">
        <v>13248</v>
      </c>
      <c r="G884" t="s">
        <v>74</v>
      </c>
      <c r="H884" t="s">
        <v>3576</v>
      </c>
      <c r="I884" t="s">
        <v>13249</v>
      </c>
      <c r="J884" t="s">
        <v>13250</v>
      </c>
      <c r="K884" t="s">
        <v>74</v>
      </c>
      <c r="L884" t="s">
        <v>74</v>
      </c>
      <c r="M884" t="s">
        <v>77</v>
      </c>
      <c r="N884" t="s">
        <v>335</v>
      </c>
      <c r="O884" t="s">
        <v>13251</v>
      </c>
      <c r="P884" t="s">
        <v>13252</v>
      </c>
      <c r="Q884" t="s">
        <v>13253</v>
      </c>
      <c r="R884" t="s">
        <v>74</v>
      </c>
      <c r="S884" t="s">
        <v>74</v>
      </c>
      <c r="T884" t="s">
        <v>74</v>
      </c>
      <c r="U884" t="s">
        <v>13254</v>
      </c>
      <c r="V884" t="s">
        <v>13255</v>
      </c>
      <c r="W884" t="s">
        <v>13256</v>
      </c>
      <c r="X884" t="s">
        <v>13257</v>
      </c>
      <c r="Y884" t="s">
        <v>13258</v>
      </c>
      <c r="Z884" t="s">
        <v>74</v>
      </c>
      <c r="AA884" t="s">
        <v>13259</v>
      </c>
      <c r="AB884" t="s">
        <v>13260</v>
      </c>
      <c r="AC884" t="s">
        <v>74</v>
      </c>
      <c r="AD884" t="s">
        <v>74</v>
      </c>
      <c r="AE884" t="s">
        <v>74</v>
      </c>
      <c r="AF884" t="s">
        <v>74</v>
      </c>
      <c r="AG884">
        <v>17</v>
      </c>
      <c r="AH884">
        <v>3</v>
      </c>
      <c r="AI884">
        <v>3</v>
      </c>
      <c r="AJ884">
        <v>0</v>
      </c>
      <c r="AK884">
        <v>2</v>
      </c>
      <c r="AL884" t="s">
        <v>1147</v>
      </c>
      <c r="AM884" t="s">
        <v>1148</v>
      </c>
      <c r="AN884" t="s">
        <v>1149</v>
      </c>
      <c r="AO884" t="s">
        <v>13261</v>
      </c>
      <c r="AP884" t="s">
        <v>74</v>
      </c>
      <c r="AQ884" t="s">
        <v>74</v>
      </c>
      <c r="AR884" t="s">
        <v>13262</v>
      </c>
      <c r="AS884" t="s">
        <v>13263</v>
      </c>
      <c r="AT884" t="s">
        <v>12471</v>
      </c>
      <c r="AU884">
        <v>2005</v>
      </c>
      <c r="AV884">
        <v>145</v>
      </c>
      <c r="AW884" t="s">
        <v>74</v>
      </c>
      <c r="AX884" t="s">
        <v>74</v>
      </c>
      <c r="AY884" t="s">
        <v>74</v>
      </c>
      <c r="AZ884" t="s">
        <v>74</v>
      </c>
      <c r="BA884" t="s">
        <v>74</v>
      </c>
      <c r="BB884">
        <v>319</v>
      </c>
      <c r="BC884">
        <v>322</v>
      </c>
      <c r="BD884" t="s">
        <v>74</v>
      </c>
      <c r="BE884" t="s">
        <v>13264</v>
      </c>
      <c r="BF884" t="str">
        <f>HYPERLINK("http://dx.doi.org/10.1016/j.nuclphysbps.2005.04.030","http://dx.doi.org/10.1016/j.nuclphysbps.2005.04.030")</f>
        <v>http://dx.doi.org/10.1016/j.nuclphysbps.2005.04.030</v>
      </c>
      <c r="BG884" t="s">
        <v>74</v>
      </c>
      <c r="BH884" t="s">
        <v>74</v>
      </c>
      <c r="BI884">
        <v>4</v>
      </c>
      <c r="BJ884" t="s">
        <v>13265</v>
      </c>
      <c r="BK884" t="s">
        <v>356</v>
      </c>
      <c r="BL884" t="s">
        <v>3899</v>
      </c>
      <c r="BM884" t="s">
        <v>13266</v>
      </c>
      <c r="BN884" t="s">
        <v>74</v>
      </c>
      <c r="BO884" t="s">
        <v>74</v>
      </c>
      <c r="BP884" t="s">
        <v>74</v>
      </c>
      <c r="BQ884" t="s">
        <v>74</v>
      </c>
      <c r="BR884" t="s">
        <v>101</v>
      </c>
      <c r="BS884" t="s">
        <v>13267</v>
      </c>
      <c r="BT884" t="str">
        <f>HYPERLINK("https%3A%2F%2Fwww.webofscience.com%2Fwos%2Fwoscc%2Ffull-record%2FWOS:000229751700067","View Full Record in Web of Science")</f>
        <v>View Full Record in Web of Science</v>
      </c>
    </row>
    <row r="885" spans="1:72" x14ac:dyDescent="0.15">
      <c r="A885" t="s">
        <v>72</v>
      </c>
      <c r="B885" t="s">
        <v>13268</v>
      </c>
      <c r="C885" t="s">
        <v>74</v>
      </c>
      <c r="D885" t="s">
        <v>74</v>
      </c>
      <c r="E885" t="s">
        <v>74</v>
      </c>
      <c r="F885" t="s">
        <v>13268</v>
      </c>
      <c r="G885" t="s">
        <v>74</v>
      </c>
      <c r="H885" t="s">
        <v>74</v>
      </c>
      <c r="I885" t="s">
        <v>13269</v>
      </c>
      <c r="J885" t="s">
        <v>13270</v>
      </c>
      <c r="K885" t="s">
        <v>74</v>
      </c>
      <c r="L885" t="s">
        <v>74</v>
      </c>
      <c r="M885" t="s">
        <v>77</v>
      </c>
      <c r="N885" t="s">
        <v>78</v>
      </c>
      <c r="O885" t="s">
        <v>74</v>
      </c>
      <c r="P885" t="s">
        <v>74</v>
      </c>
      <c r="Q885" t="s">
        <v>74</v>
      </c>
      <c r="R885" t="s">
        <v>74</v>
      </c>
      <c r="S885" t="s">
        <v>74</v>
      </c>
      <c r="T885" t="s">
        <v>13271</v>
      </c>
      <c r="U885" t="s">
        <v>13272</v>
      </c>
      <c r="V885" t="s">
        <v>13273</v>
      </c>
      <c r="W885" t="s">
        <v>13274</v>
      </c>
      <c r="X885" t="s">
        <v>13275</v>
      </c>
      <c r="Y885" t="s">
        <v>13276</v>
      </c>
      <c r="Z885" t="s">
        <v>13277</v>
      </c>
      <c r="AA885" t="s">
        <v>74</v>
      </c>
      <c r="AB885" t="s">
        <v>13278</v>
      </c>
      <c r="AC885" t="s">
        <v>74</v>
      </c>
      <c r="AD885" t="s">
        <v>74</v>
      </c>
      <c r="AE885" t="s">
        <v>74</v>
      </c>
      <c r="AF885" t="s">
        <v>74</v>
      </c>
      <c r="AG885">
        <v>38</v>
      </c>
      <c r="AH885">
        <v>10</v>
      </c>
      <c r="AI885">
        <v>10</v>
      </c>
      <c r="AJ885">
        <v>0</v>
      </c>
      <c r="AK885">
        <v>0</v>
      </c>
      <c r="AL885" t="s">
        <v>348</v>
      </c>
      <c r="AM885" t="s">
        <v>349</v>
      </c>
      <c r="AN885" t="s">
        <v>1523</v>
      </c>
      <c r="AO885" t="s">
        <v>13279</v>
      </c>
      <c r="AP885" t="s">
        <v>13280</v>
      </c>
      <c r="AQ885" t="s">
        <v>74</v>
      </c>
      <c r="AR885" t="s">
        <v>13281</v>
      </c>
      <c r="AS885" t="s">
        <v>13282</v>
      </c>
      <c r="AT885" t="s">
        <v>12471</v>
      </c>
      <c r="AU885">
        <v>2005</v>
      </c>
      <c r="AV885">
        <v>8</v>
      </c>
      <c r="AW885">
        <v>4</v>
      </c>
      <c r="AX885" t="s">
        <v>74</v>
      </c>
      <c r="AY885" t="s">
        <v>74</v>
      </c>
      <c r="AZ885" t="s">
        <v>74</v>
      </c>
      <c r="BA885" t="s">
        <v>74</v>
      </c>
      <c r="BB885">
        <v>233</v>
      </c>
      <c r="BC885">
        <v>238</v>
      </c>
      <c r="BD885" t="s">
        <v>74</v>
      </c>
      <c r="BE885" t="s">
        <v>13283</v>
      </c>
      <c r="BF885" t="str">
        <f>HYPERLINK("http://dx.doi.org/10.1080/10284150500193726","http://dx.doi.org/10.1080/10284150500193726")</f>
        <v>http://dx.doi.org/10.1080/10284150500193726</v>
      </c>
      <c r="BG885" t="s">
        <v>74</v>
      </c>
      <c r="BH885" t="s">
        <v>74</v>
      </c>
      <c r="BI885">
        <v>6</v>
      </c>
      <c r="BJ885" t="s">
        <v>13284</v>
      </c>
      <c r="BK885" t="s">
        <v>98</v>
      </c>
      <c r="BL885" t="s">
        <v>13285</v>
      </c>
      <c r="BM885" t="s">
        <v>13286</v>
      </c>
      <c r="BN885">
        <v>16491648</v>
      </c>
      <c r="BO885" t="s">
        <v>74</v>
      </c>
      <c r="BP885" t="s">
        <v>74</v>
      </c>
      <c r="BQ885" t="s">
        <v>74</v>
      </c>
      <c r="BR885" t="s">
        <v>101</v>
      </c>
      <c r="BS885" t="s">
        <v>13287</v>
      </c>
      <c r="BT885" t="str">
        <f>HYPERLINK("https%3A%2F%2Fwww.webofscience.com%2Fwos%2Fwoscc%2Ffull-record%2FWOS:000235336300005","View Full Record in Web of Science")</f>
        <v>View Full Record in Web of Science</v>
      </c>
    </row>
    <row r="886" spans="1:72" x14ac:dyDescent="0.15">
      <c r="A886" t="s">
        <v>72</v>
      </c>
      <c r="B886" t="s">
        <v>13288</v>
      </c>
      <c r="C886" t="s">
        <v>74</v>
      </c>
      <c r="D886" t="s">
        <v>74</v>
      </c>
      <c r="E886" t="s">
        <v>74</v>
      </c>
      <c r="F886" t="s">
        <v>13288</v>
      </c>
      <c r="G886" t="s">
        <v>74</v>
      </c>
      <c r="H886" t="s">
        <v>74</v>
      </c>
      <c r="I886" t="s">
        <v>13289</v>
      </c>
      <c r="J886" t="s">
        <v>3975</v>
      </c>
      <c r="K886" t="s">
        <v>74</v>
      </c>
      <c r="L886" t="s">
        <v>74</v>
      </c>
      <c r="M886" t="s">
        <v>77</v>
      </c>
      <c r="N886" t="s">
        <v>78</v>
      </c>
      <c r="O886" t="s">
        <v>74</v>
      </c>
      <c r="P886" t="s">
        <v>74</v>
      </c>
      <c r="Q886" t="s">
        <v>74</v>
      </c>
      <c r="R886" t="s">
        <v>74</v>
      </c>
      <c r="S886" t="s">
        <v>74</v>
      </c>
      <c r="T886" t="s">
        <v>74</v>
      </c>
      <c r="U886" t="s">
        <v>13290</v>
      </c>
      <c r="V886" t="s">
        <v>13291</v>
      </c>
      <c r="W886" t="s">
        <v>13292</v>
      </c>
      <c r="X886" t="s">
        <v>261</v>
      </c>
      <c r="Y886" t="s">
        <v>13293</v>
      </c>
      <c r="Z886" t="s">
        <v>13294</v>
      </c>
      <c r="AA886" t="s">
        <v>264</v>
      </c>
      <c r="AB886" t="s">
        <v>74</v>
      </c>
      <c r="AC886" t="s">
        <v>74</v>
      </c>
      <c r="AD886" t="s">
        <v>74</v>
      </c>
      <c r="AE886" t="s">
        <v>74</v>
      </c>
      <c r="AF886" t="s">
        <v>74</v>
      </c>
      <c r="AG886">
        <v>46</v>
      </c>
      <c r="AH886">
        <v>4</v>
      </c>
      <c r="AI886">
        <v>7</v>
      </c>
      <c r="AJ886">
        <v>1</v>
      </c>
      <c r="AK886">
        <v>21</v>
      </c>
      <c r="AL886" t="s">
        <v>88</v>
      </c>
      <c r="AM886" t="s">
        <v>89</v>
      </c>
      <c r="AN886" t="s">
        <v>4001</v>
      </c>
      <c r="AO886" t="s">
        <v>3985</v>
      </c>
      <c r="AP886" t="s">
        <v>74</v>
      </c>
      <c r="AQ886" t="s">
        <v>74</v>
      </c>
      <c r="AR886" t="s">
        <v>3987</v>
      </c>
      <c r="AS886" t="s">
        <v>3988</v>
      </c>
      <c r="AT886" t="s">
        <v>12471</v>
      </c>
      <c r="AU886">
        <v>2005</v>
      </c>
      <c r="AV886">
        <v>28</v>
      </c>
      <c r="AW886">
        <v>9</v>
      </c>
      <c r="AX886" t="s">
        <v>74</v>
      </c>
      <c r="AY886" t="s">
        <v>74</v>
      </c>
      <c r="AZ886" t="s">
        <v>74</v>
      </c>
      <c r="BA886" t="s">
        <v>74</v>
      </c>
      <c r="BB886">
        <v>672</v>
      </c>
      <c r="BC886">
        <v>679</v>
      </c>
      <c r="BD886" t="s">
        <v>74</v>
      </c>
      <c r="BE886" t="s">
        <v>13295</v>
      </c>
      <c r="BF886" t="str">
        <f>HYPERLINK("http://dx.doi.org/10.1007/s00300-005-0736-3","http://dx.doi.org/10.1007/s00300-005-0736-3")</f>
        <v>http://dx.doi.org/10.1007/s00300-005-0736-3</v>
      </c>
      <c r="BG886" t="s">
        <v>74</v>
      </c>
      <c r="BH886" t="s">
        <v>74</v>
      </c>
      <c r="BI886">
        <v>8</v>
      </c>
      <c r="BJ886" t="s">
        <v>3990</v>
      </c>
      <c r="BK886" t="s">
        <v>98</v>
      </c>
      <c r="BL886" t="s">
        <v>147</v>
      </c>
      <c r="BM886" t="s">
        <v>13296</v>
      </c>
      <c r="BN886" t="s">
        <v>74</v>
      </c>
      <c r="BO886" t="s">
        <v>74</v>
      </c>
      <c r="BP886" t="s">
        <v>74</v>
      </c>
      <c r="BQ886" t="s">
        <v>74</v>
      </c>
      <c r="BR886" t="s">
        <v>101</v>
      </c>
      <c r="BS886" t="s">
        <v>13297</v>
      </c>
      <c r="BT886" t="str">
        <f>HYPERLINK("https%3A%2F%2Fwww.webofscience.com%2Fwos%2Fwoscc%2Ffull-record%2FWOS:000231421200003","View Full Record in Web of Science")</f>
        <v>View Full Record in Web of Science</v>
      </c>
    </row>
    <row r="887" spans="1:72" x14ac:dyDescent="0.15">
      <c r="A887" t="s">
        <v>72</v>
      </c>
      <c r="B887" t="s">
        <v>12330</v>
      </c>
      <c r="C887" t="s">
        <v>74</v>
      </c>
      <c r="D887" t="s">
        <v>74</v>
      </c>
      <c r="E887" t="s">
        <v>74</v>
      </c>
      <c r="F887" t="s">
        <v>12330</v>
      </c>
      <c r="G887" t="s">
        <v>74</v>
      </c>
      <c r="H887" t="s">
        <v>74</v>
      </c>
      <c r="I887" t="s">
        <v>13298</v>
      </c>
      <c r="J887" t="s">
        <v>3975</v>
      </c>
      <c r="K887" t="s">
        <v>74</v>
      </c>
      <c r="L887" t="s">
        <v>74</v>
      </c>
      <c r="M887" t="s">
        <v>77</v>
      </c>
      <c r="N887" t="s">
        <v>78</v>
      </c>
      <c r="O887" t="s">
        <v>74</v>
      </c>
      <c r="P887" t="s">
        <v>74</v>
      </c>
      <c r="Q887" t="s">
        <v>74</v>
      </c>
      <c r="R887" t="s">
        <v>74</v>
      </c>
      <c r="S887" t="s">
        <v>74</v>
      </c>
      <c r="T887" t="s">
        <v>13299</v>
      </c>
      <c r="U887" t="s">
        <v>13300</v>
      </c>
      <c r="V887" t="s">
        <v>13301</v>
      </c>
      <c r="W887" t="s">
        <v>13302</v>
      </c>
      <c r="X887" t="s">
        <v>6243</v>
      </c>
      <c r="Y887" t="s">
        <v>13303</v>
      </c>
      <c r="Z887" t="s">
        <v>12337</v>
      </c>
      <c r="AA887" t="s">
        <v>6251</v>
      </c>
      <c r="AB887" t="s">
        <v>12338</v>
      </c>
      <c r="AC887" t="s">
        <v>74</v>
      </c>
      <c r="AD887" t="s">
        <v>74</v>
      </c>
      <c r="AE887" t="s">
        <v>74</v>
      </c>
      <c r="AF887" t="s">
        <v>74</v>
      </c>
      <c r="AG887">
        <v>55</v>
      </c>
      <c r="AH887">
        <v>46</v>
      </c>
      <c r="AI887">
        <v>54</v>
      </c>
      <c r="AJ887">
        <v>0</v>
      </c>
      <c r="AK887">
        <v>21</v>
      </c>
      <c r="AL887" t="s">
        <v>88</v>
      </c>
      <c r="AM887" t="s">
        <v>89</v>
      </c>
      <c r="AN887" t="s">
        <v>4001</v>
      </c>
      <c r="AO887" t="s">
        <v>3985</v>
      </c>
      <c r="AP887" t="s">
        <v>74</v>
      </c>
      <c r="AQ887" t="s">
        <v>74</v>
      </c>
      <c r="AR887" t="s">
        <v>3987</v>
      </c>
      <c r="AS887" t="s">
        <v>3988</v>
      </c>
      <c r="AT887" t="s">
        <v>12471</v>
      </c>
      <c r="AU887">
        <v>2005</v>
      </c>
      <c r="AV887">
        <v>28</v>
      </c>
      <c r="AW887">
        <v>9</v>
      </c>
      <c r="AX887" t="s">
        <v>74</v>
      </c>
      <c r="AY887" t="s">
        <v>74</v>
      </c>
      <c r="AZ887" t="s">
        <v>74</v>
      </c>
      <c r="BA887" t="s">
        <v>74</v>
      </c>
      <c r="BB887">
        <v>680</v>
      </c>
      <c r="BC887">
        <v>686</v>
      </c>
      <c r="BD887" t="s">
        <v>74</v>
      </c>
      <c r="BE887" t="s">
        <v>13304</v>
      </c>
      <c r="BF887" t="str">
        <f>HYPERLINK("http://dx.doi.org/10.1007/s00300-005-0735-4","http://dx.doi.org/10.1007/s00300-005-0735-4")</f>
        <v>http://dx.doi.org/10.1007/s00300-005-0735-4</v>
      </c>
      <c r="BG887" t="s">
        <v>74</v>
      </c>
      <c r="BH887" t="s">
        <v>74</v>
      </c>
      <c r="BI887">
        <v>7</v>
      </c>
      <c r="BJ887" t="s">
        <v>3990</v>
      </c>
      <c r="BK887" t="s">
        <v>98</v>
      </c>
      <c r="BL887" t="s">
        <v>147</v>
      </c>
      <c r="BM887" t="s">
        <v>13296</v>
      </c>
      <c r="BN887" t="s">
        <v>74</v>
      </c>
      <c r="BO887" t="s">
        <v>74</v>
      </c>
      <c r="BP887" t="s">
        <v>74</v>
      </c>
      <c r="BQ887" t="s">
        <v>74</v>
      </c>
      <c r="BR887" t="s">
        <v>101</v>
      </c>
      <c r="BS887" t="s">
        <v>13305</v>
      </c>
      <c r="BT887" t="str">
        <f>HYPERLINK("https%3A%2F%2Fwww.webofscience.com%2Fwos%2Fwoscc%2Ffull-record%2FWOS:000231421200004","View Full Record in Web of Science")</f>
        <v>View Full Record in Web of Science</v>
      </c>
    </row>
    <row r="888" spans="1:72" x14ac:dyDescent="0.15">
      <c r="A888" t="s">
        <v>72</v>
      </c>
      <c r="B888" t="s">
        <v>13306</v>
      </c>
      <c r="C888" t="s">
        <v>74</v>
      </c>
      <c r="D888" t="s">
        <v>74</v>
      </c>
      <c r="E888" t="s">
        <v>74</v>
      </c>
      <c r="F888" t="s">
        <v>13306</v>
      </c>
      <c r="G888" t="s">
        <v>74</v>
      </c>
      <c r="H888" t="s">
        <v>74</v>
      </c>
      <c r="I888" t="s">
        <v>13307</v>
      </c>
      <c r="J888" t="s">
        <v>3975</v>
      </c>
      <c r="K888" t="s">
        <v>74</v>
      </c>
      <c r="L888" t="s">
        <v>74</v>
      </c>
      <c r="M888" t="s">
        <v>77</v>
      </c>
      <c r="N888" t="s">
        <v>78</v>
      </c>
      <c r="O888" t="s">
        <v>74</v>
      </c>
      <c r="P888" t="s">
        <v>74</v>
      </c>
      <c r="Q888" t="s">
        <v>74</v>
      </c>
      <c r="R888" t="s">
        <v>74</v>
      </c>
      <c r="S888" t="s">
        <v>74</v>
      </c>
      <c r="T888" t="s">
        <v>13308</v>
      </c>
      <c r="U888" t="s">
        <v>13309</v>
      </c>
      <c r="V888" t="s">
        <v>13310</v>
      </c>
      <c r="W888" t="s">
        <v>13311</v>
      </c>
      <c r="X888" t="s">
        <v>13312</v>
      </c>
      <c r="Y888" t="s">
        <v>13313</v>
      </c>
      <c r="Z888" t="s">
        <v>7341</v>
      </c>
      <c r="AA888" t="s">
        <v>74</v>
      </c>
      <c r="AB888" t="s">
        <v>13314</v>
      </c>
      <c r="AC888" t="s">
        <v>74</v>
      </c>
      <c r="AD888" t="s">
        <v>74</v>
      </c>
      <c r="AE888" t="s">
        <v>74</v>
      </c>
      <c r="AF888" t="s">
        <v>74</v>
      </c>
      <c r="AG888">
        <v>57</v>
      </c>
      <c r="AH888">
        <v>22</v>
      </c>
      <c r="AI888">
        <v>25</v>
      </c>
      <c r="AJ888">
        <v>1</v>
      </c>
      <c r="AK888">
        <v>22</v>
      </c>
      <c r="AL888" t="s">
        <v>88</v>
      </c>
      <c r="AM888" t="s">
        <v>89</v>
      </c>
      <c r="AN888" t="s">
        <v>4001</v>
      </c>
      <c r="AO888" t="s">
        <v>3985</v>
      </c>
      <c r="AP888" t="s">
        <v>74</v>
      </c>
      <c r="AQ888" t="s">
        <v>74</v>
      </c>
      <c r="AR888" t="s">
        <v>3987</v>
      </c>
      <c r="AS888" t="s">
        <v>3988</v>
      </c>
      <c r="AT888" t="s">
        <v>12471</v>
      </c>
      <c r="AU888">
        <v>2005</v>
      </c>
      <c r="AV888">
        <v>28</v>
      </c>
      <c r="AW888">
        <v>9</v>
      </c>
      <c r="AX888" t="s">
        <v>74</v>
      </c>
      <c r="AY888" t="s">
        <v>74</v>
      </c>
      <c r="AZ888" t="s">
        <v>74</v>
      </c>
      <c r="BA888" t="s">
        <v>74</v>
      </c>
      <c r="BB888">
        <v>687</v>
      </c>
      <c r="BC888">
        <v>699</v>
      </c>
      <c r="BD888" t="s">
        <v>74</v>
      </c>
      <c r="BE888" t="s">
        <v>13315</v>
      </c>
      <c r="BF888" t="str">
        <f>HYPERLINK("http://dx.doi.org/10.1007/s00300-005-0734-5","http://dx.doi.org/10.1007/s00300-005-0734-5")</f>
        <v>http://dx.doi.org/10.1007/s00300-005-0734-5</v>
      </c>
      <c r="BG888" t="s">
        <v>74</v>
      </c>
      <c r="BH888" t="s">
        <v>74</v>
      </c>
      <c r="BI888">
        <v>13</v>
      </c>
      <c r="BJ888" t="s">
        <v>3990</v>
      </c>
      <c r="BK888" t="s">
        <v>98</v>
      </c>
      <c r="BL888" t="s">
        <v>147</v>
      </c>
      <c r="BM888" t="s">
        <v>13296</v>
      </c>
      <c r="BN888" t="s">
        <v>74</v>
      </c>
      <c r="BO888" t="s">
        <v>74</v>
      </c>
      <c r="BP888" t="s">
        <v>74</v>
      </c>
      <c r="BQ888" t="s">
        <v>74</v>
      </c>
      <c r="BR888" t="s">
        <v>101</v>
      </c>
      <c r="BS888" t="s">
        <v>13316</v>
      </c>
      <c r="BT888" t="str">
        <f>HYPERLINK("https%3A%2F%2Fwww.webofscience.com%2Fwos%2Fwoscc%2Ffull-record%2FWOS:000231421200005","View Full Record in Web of Science")</f>
        <v>View Full Record in Web of Science</v>
      </c>
    </row>
    <row r="889" spans="1:72" x14ac:dyDescent="0.15">
      <c r="A889" t="s">
        <v>72</v>
      </c>
      <c r="B889" t="s">
        <v>13317</v>
      </c>
      <c r="C889" t="s">
        <v>74</v>
      </c>
      <c r="D889" t="s">
        <v>74</v>
      </c>
      <c r="E889" t="s">
        <v>74</v>
      </c>
      <c r="F889" t="s">
        <v>13317</v>
      </c>
      <c r="G889" t="s">
        <v>74</v>
      </c>
      <c r="H889" t="s">
        <v>74</v>
      </c>
      <c r="I889" t="s">
        <v>13318</v>
      </c>
      <c r="J889" t="s">
        <v>3975</v>
      </c>
      <c r="K889" t="s">
        <v>74</v>
      </c>
      <c r="L889" t="s">
        <v>74</v>
      </c>
      <c r="M889" t="s">
        <v>77</v>
      </c>
      <c r="N889" t="s">
        <v>78</v>
      </c>
      <c r="O889" t="s">
        <v>74</v>
      </c>
      <c r="P889" t="s">
        <v>74</v>
      </c>
      <c r="Q889" t="s">
        <v>74</v>
      </c>
      <c r="R889" t="s">
        <v>74</v>
      </c>
      <c r="S889" t="s">
        <v>74</v>
      </c>
      <c r="T889" t="s">
        <v>13319</v>
      </c>
      <c r="U889" t="s">
        <v>13320</v>
      </c>
      <c r="V889" t="s">
        <v>13321</v>
      </c>
      <c r="W889" t="s">
        <v>13322</v>
      </c>
      <c r="X889" t="s">
        <v>13323</v>
      </c>
      <c r="Y889" t="s">
        <v>9698</v>
      </c>
      <c r="Z889" t="s">
        <v>13324</v>
      </c>
      <c r="AA889" t="s">
        <v>13325</v>
      </c>
      <c r="AB889" t="s">
        <v>13326</v>
      </c>
      <c r="AC889" t="s">
        <v>13327</v>
      </c>
      <c r="AD889" t="s">
        <v>1015</v>
      </c>
      <c r="AE889" t="s">
        <v>74</v>
      </c>
      <c r="AF889" t="s">
        <v>74</v>
      </c>
      <c r="AG889">
        <v>52</v>
      </c>
      <c r="AH889">
        <v>26</v>
      </c>
      <c r="AI889">
        <v>28</v>
      </c>
      <c r="AJ889">
        <v>1</v>
      </c>
      <c r="AK889">
        <v>14</v>
      </c>
      <c r="AL889" t="s">
        <v>88</v>
      </c>
      <c r="AM889" t="s">
        <v>89</v>
      </c>
      <c r="AN889" t="s">
        <v>3984</v>
      </c>
      <c r="AO889" t="s">
        <v>3985</v>
      </c>
      <c r="AP889" t="s">
        <v>3986</v>
      </c>
      <c r="AQ889" t="s">
        <v>74</v>
      </c>
      <c r="AR889" t="s">
        <v>3987</v>
      </c>
      <c r="AS889" t="s">
        <v>3988</v>
      </c>
      <c r="AT889" t="s">
        <v>12471</v>
      </c>
      <c r="AU889">
        <v>2005</v>
      </c>
      <c r="AV889">
        <v>28</v>
      </c>
      <c r="AW889">
        <v>9</v>
      </c>
      <c r="AX889" t="s">
        <v>74</v>
      </c>
      <c r="AY889" t="s">
        <v>74</v>
      </c>
      <c r="AZ889" t="s">
        <v>74</v>
      </c>
      <c r="BA889" t="s">
        <v>74</v>
      </c>
      <c r="BB889">
        <v>700</v>
      </c>
      <c r="BC889">
        <v>713</v>
      </c>
      <c r="BD889" t="s">
        <v>74</v>
      </c>
      <c r="BE889" t="s">
        <v>13328</v>
      </c>
      <c r="BF889" t="str">
        <f>HYPERLINK("http://dx.doi.org/10.1007/s00300-005-0733-6","http://dx.doi.org/10.1007/s00300-005-0733-6")</f>
        <v>http://dx.doi.org/10.1007/s00300-005-0733-6</v>
      </c>
      <c r="BG889" t="s">
        <v>74</v>
      </c>
      <c r="BH889" t="s">
        <v>74</v>
      </c>
      <c r="BI889">
        <v>14</v>
      </c>
      <c r="BJ889" t="s">
        <v>3990</v>
      </c>
      <c r="BK889" t="s">
        <v>98</v>
      </c>
      <c r="BL889" t="s">
        <v>147</v>
      </c>
      <c r="BM889" t="s">
        <v>13296</v>
      </c>
      <c r="BN889" t="s">
        <v>74</v>
      </c>
      <c r="BO889" t="s">
        <v>74</v>
      </c>
      <c r="BP889" t="s">
        <v>74</v>
      </c>
      <c r="BQ889" t="s">
        <v>74</v>
      </c>
      <c r="BR889" t="s">
        <v>101</v>
      </c>
      <c r="BS889" t="s">
        <v>13329</v>
      </c>
      <c r="BT889" t="str">
        <f>HYPERLINK("https%3A%2F%2Fwww.webofscience.com%2Fwos%2Fwoscc%2Ffull-record%2FWOS:000231421200006","View Full Record in Web of Science")</f>
        <v>View Full Record in Web of Science</v>
      </c>
    </row>
    <row r="890" spans="1:72" x14ac:dyDescent="0.15">
      <c r="A890" t="s">
        <v>72</v>
      </c>
      <c r="B890" t="s">
        <v>13330</v>
      </c>
      <c r="C890" t="s">
        <v>74</v>
      </c>
      <c r="D890" t="s">
        <v>74</v>
      </c>
      <c r="E890" t="s">
        <v>74</v>
      </c>
      <c r="F890" t="s">
        <v>13330</v>
      </c>
      <c r="G890" t="s">
        <v>74</v>
      </c>
      <c r="H890" t="s">
        <v>74</v>
      </c>
      <c r="I890" t="s">
        <v>13331</v>
      </c>
      <c r="J890" t="s">
        <v>3975</v>
      </c>
      <c r="K890" t="s">
        <v>74</v>
      </c>
      <c r="L890" t="s">
        <v>74</v>
      </c>
      <c r="M890" t="s">
        <v>77</v>
      </c>
      <c r="N890" t="s">
        <v>78</v>
      </c>
      <c r="O890" t="s">
        <v>74</v>
      </c>
      <c r="P890" t="s">
        <v>74</v>
      </c>
      <c r="Q890" t="s">
        <v>74</v>
      </c>
      <c r="R890" t="s">
        <v>74</v>
      </c>
      <c r="S890" t="s">
        <v>74</v>
      </c>
      <c r="T890" t="s">
        <v>74</v>
      </c>
      <c r="U890" t="s">
        <v>13332</v>
      </c>
      <c r="V890" t="s">
        <v>13333</v>
      </c>
      <c r="W890" t="s">
        <v>13334</v>
      </c>
      <c r="X890" t="s">
        <v>13335</v>
      </c>
      <c r="Y890" t="s">
        <v>6790</v>
      </c>
      <c r="Z890" t="s">
        <v>6791</v>
      </c>
      <c r="AA890" t="s">
        <v>13336</v>
      </c>
      <c r="AB890" t="s">
        <v>6793</v>
      </c>
      <c r="AC890" t="s">
        <v>74</v>
      </c>
      <c r="AD890" t="s">
        <v>74</v>
      </c>
      <c r="AE890" t="s">
        <v>74</v>
      </c>
      <c r="AF890" t="s">
        <v>74</v>
      </c>
      <c r="AG890">
        <v>43</v>
      </c>
      <c r="AH890">
        <v>34</v>
      </c>
      <c r="AI890">
        <v>34</v>
      </c>
      <c r="AJ890">
        <v>1</v>
      </c>
      <c r="AK890">
        <v>6</v>
      </c>
      <c r="AL890" t="s">
        <v>88</v>
      </c>
      <c r="AM890" t="s">
        <v>89</v>
      </c>
      <c r="AN890" t="s">
        <v>3984</v>
      </c>
      <c r="AO890" t="s">
        <v>3985</v>
      </c>
      <c r="AP890" t="s">
        <v>3986</v>
      </c>
      <c r="AQ890" t="s">
        <v>74</v>
      </c>
      <c r="AR890" t="s">
        <v>3987</v>
      </c>
      <c r="AS890" t="s">
        <v>3988</v>
      </c>
      <c r="AT890" t="s">
        <v>12471</v>
      </c>
      <c r="AU890">
        <v>2005</v>
      </c>
      <c r="AV890">
        <v>28</v>
      </c>
      <c r="AW890">
        <v>9</v>
      </c>
      <c r="AX890" t="s">
        <v>74</v>
      </c>
      <c r="AY890" t="s">
        <v>74</v>
      </c>
      <c r="AZ890" t="s">
        <v>74</v>
      </c>
      <c r="BA890" t="s">
        <v>74</v>
      </c>
      <c r="BB890">
        <v>725</v>
      </c>
      <c r="BC890">
        <v>731</v>
      </c>
      <c r="BD890" t="s">
        <v>74</v>
      </c>
      <c r="BE890" t="s">
        <v>13337</v>
      </c>
      <c r="BF890" t="str">
        <f>HYPERLINK("http://dx.doi.org/10.1007/s00300-005-0732-7","http://dx.doi.org/10.1007/s00300-005-0732-7")</f>
        <v>http://dx.doi.org/10.1007/s00300-005-0732-7</v>
      </c>
      <c r="BG890" t="s">
        <v>74</v>
      </c>
      <c r="BH890" t="s">
        <v>74</v>
      </c>
      <c r="BI890">
        <v>7</v>
      </c>
      <c r="BJ890" t="s">
        <v>3990</v>
      </c>
      <c r="BK890" t="s">
        <v>98</v>
      </c>
      <c r="BL890" t="s">
        <v>147</v>
      </c>
      <c r="BM890" t="s">
        <v>13296</v>
      </c>
      <c r="BN890" t="s">
        <v>74</v>
      </c>
      <c r="BO890" t="s">
        <v>534</v>
      </c>
      <c r="BP890" t="s">
        <v>74</v>
      </c>
      <c r="BQ890" t="s">
        <v>74</v>
      </c>
      <c r="BR890" t="s">
        <v>101</v>
      </c>
      <c r="BS890" t="s">
        <v>13338</v>
      </c>
      <c r="BT890" t="str">
        <f>HYPERLINK("https%3A%2F%2Fwww.webofscience.com%2Fwos%2Fwoscc%2Ffull-record%2FWOS:000231421200008","View Full Record in Web of Science")</f>
        <v>View Full Record in Web of Science</v>
      </c>
    </row>
    <row r="891" spans="1:72" x14ac:dyDescent="0.15">
      <c r="A891" t="s">
        <v>72</v>
      </c>
      <c r="B891" t="s">
        <v>13339</v>
      </c>
      <c r="C891" t="s">
        <v>74</v>
      </c>
      <c r="D891" t="s">
        <v>74</v>
      </c>
      <c r="E891" t="s">
        <v>74</v>
      </c>
      <c r="F891" t="s">
        <v>13339</v>
      </c>
      <c r="G891" t="s">
        <v>74</v>
      </c>
      <c r="H891" t="s">
        <v>74</v>
      </c>
      <c r="I891" t="s">
        <v>13340</v>
      </c>
      <c r="J891" t="s">
        <v>4420</v>
      </c>
      <c r="K891" t="s">
        <v>74</v>
      </c>
      <c r="L891" t="s">
        <v>74</v>
      </c>
      <c r="M891" t="s">
        <v>77</v>
      </c>
      <c r="N891" t="s">
        <v>78</v>
      </c>
      <c r="O891" t="s">
        <v>74</v>
      </c>
      <c r="P891" t="s">
        <v>74</v>
      </c>
      <c r="Q891" t="s">
        <v>74</v>
      </c>
      <c r="R891" t="s">
        <v>74</v>
      </c>
      <c r="S891" t="s">
        <v>74</v>
      </c>
      <c r="T891" t="s">
        <v>74</v>
      </c>
      <c r="U891" t="s">
        <v>13341</v>
      </c>
      <c r="V891" t="s">
        <v>13342</v>
      </c>
      <c r="W891" t="s">
        <v>13343</v>
      </c>
      <c r="X891" t="s">
        <v>13344</v>
      </c>
      <c r="Y891" t="s">
        <v>10777</v>
      </c>
      <c r="Z891" t="s">
        <v>13345</v>
      </c>
      <c r="AA891" t="s">
        <v>13346</v>
      </c>
      <c r="AB891" t="s">
        <v>74</v>
      </c>
      <c r="AC891" t="s">
        <v>74</v>
      </c>
      <c r="AD891" t="s">
        <v>74</v>
      </c>
      <c r="AE891" t="s">
        <v>74</v>
      </c>
      <c r="AF891" t="s">
        <v>74</v>
      </c>
      <c r="AG891">
        <v>49</v>
      </c>
      <c r="AH891">
        <v>88</v>
      </c>
      <c r="AI891">
        <v>101</v>
      </c>
      <c r="AJ891">
        <v>0</v>
      </c>
      <c r="AK891">
        <v>10</v>
      </c>
      <c r="AL891" t="s">
        <v>622</v>
      </c>
      <c r="AM891" t="s">
        <v>140</v>
      </c>
      <c r="AN891" t="s">
        <v>623</v>
      </c>
      <c r="AO891" t="s">
        <v>4429</v>
      </c>
      <c r="AP891" t="s">
        <v>74</v>
      </c>
      <c r="AQ891" t="s">
        <v>74</v>
      </c>
      <c r="AR891" t="s">
        <v>4430</v>
      </c>
      <c r="AS891" t="s">
        <v>4431</v>
      </c>
      <c r="AT891" t="s">
        <v>12471</v>
      </c>
      <c r="AU891">
        <v>2005</v>
      </c>
      <c r="AV891">
        <v>24</v>
      </c>
      <c r="AW891" t="s">
        <v>13347</v>
      </c>
      <c r="AX891" t="s">
        <v>74</v>
      </c>
      <c r="AY891" t="s">
        <v>74</v>
      </c>
      <c r="AZ891" t="s">
        <v>74</v>
      </c>
      <c r="BA891" t="s">
        <v>74</v>
      </c>
      <c r="BB891">
        <v>1655</v>
      </c>
      <c r="BC891">
        <v>1671</v>
      </c>
      <c r="BD891" t="s">
        <v>74</v>
      </c>
      <c r="BE891" t="s">
        <v>13348</v>
      </c>
      <c r="BF891" t="str">
        <f>HYPERLINK("http://dx.doi.org/10.1016/j.quascirev.2004.06.023","http://dx.doi.org/10.1016/j.quascirev.2004.06.023")</f>
        <v>http://dx.doi.org/10.1016/j.quascirev.2004.06.023</v>
      </c>
      <c r="BG891" t="s">
        <v>74</v>
      </c>
      <c r="BH891" t="s">
        <v>74</v>
      </c>
      <c r="BI891">
        <v>17</v>
      </c>
      <c r="BJ891" t="s">
        <v>2246</v>
      </c>
      <c r="BK891" t="s">
        <v>98</v>
      </c>
      <c r="BL891" t="s">
        <v>1531</v>
      </c>
      <c r="BM891" t="s">
        <v>13349</v>
      </c>
      <c r="BN891" t="s">
        <v>74</v>
      </c>
      <c r="BO891" t="s">
        <v>74</v>
      </c>
      <c r="BP891" t="s">
        <v>74</v>
      </c>
      <c r="BQ891" t="s">
        <v>74</v>
      </c>
      <c r="BR891" t="s">
        <v>101</v>
      </c>
      <c r="BS891" t="s">
        <v>13350</v>
      </c>
      <c r="BT891" t="str">
        <f>HYPERLINK("https%3A%2F%2Fwww.webofscience.com%2Fwos%2Fwoscc%2Ffull-record%2FWOS:000230182900009","View Full Record in Web of Science")</f>
        <v>View Full Record in Web of Science</v>
      </c>
    </row>
    <row r="892" spans="1:72" x14ac:dyDescent="0.15">
      <c r="A892" t="s">
        <v>72</v>
      </c>
      <c r="B892" t="s">
        <v>13351</v>
      </c>
      <c r="C892" t="s">
        <v>74</v>
      </c>
      <c r="D892" t="s">
        <v>74</v>
      </c>
      <c r="E892" t="s">
        <v>74</v>
      </c>
      <c r="F892" t="s">
        <v>13351</v>
      </c>
      <c r="G892" t="s">
        <v>74</v>
      </c>
      <c r="H892" t="s">
        <v>74</v>
      </c>
      <c r="I892" t="s">
        <v>13352</v>
      </c>
      <c r="J892" t="s">
        <v>13353</v>
      </c>
      <c r="K892" t="s">
        <v>74</v>
      </c>
      <c r="L892" t="s">
        <v>74</v>
      </c>
      <c r="M892" t="s">
        <v>77</v>
      </c>
      <c r="N892" t="s">
        <v>335</v>
      </c>
      <c r="O892" t="s">
        <v>13354</v>
      </c>
      <c r="P892" t="s">
        <v>13355</v>
      </c>
      <c r="Q892" t="s">
        <v>657</v>
      </c>
      <c r="R892" t="s">
        <v>74</v>
      </c>
      <c r="S892" t="s">
        <v>74</v>
      </c>
      <c r="T892" t="s">
        <v>13356</v>
      </c>
      <c r="U892" t="s">
        <v>74</v>
      </c>
      <c r="V892" t="s">
        <v>13357</v>
      </c>
      <c r="W892" t="s">
        <v>13358</v>
      </c>
      <c r="X892" t="s">
        <v>13359</v>
      </c>
      <c r="Y892" t="s">
        <v>13360</v>
      </c>
      <c r="Z892" t="s">
        <v>10304</v>
      </c>
      <c r="AA892" t="s">
        <v>10305</v>
      </c>
      <c r="AB892" t="s">
        <v>13361</v>
      </c>
      <c r="AC892" t="s">
        <v>74</v>
      </c>
      <c r="AD892" t="s">
        <v>74</v>
      </c>
      <c r="AE892" t="s">
        <v>74</v>
      </c>
      <c r="AF892" t="s">
        <v>74</v>
      </c>
      <c r="AG892">
        <v>7</v>
      </c>
      <c r="AH892">
        <v>4</v>
      </c>
      <c r="AI892">
        <v>5</v>
      </c>
      <c r="AJ892">
        <v>0</v>
      </c>
      <c r="AK892">
        <v>6</v>
      </c>
      <c r="AL892" t="s">
        <v>622</v>
      </c>
      <c r="AM892" t="s">
        <v>140</v>
      </c>
      <c r="AN892" t="s">
        <v>623</v>
      </c>
      <c r="AO892" t="s">
        <v>13362</v>
      </c>
      <c r="AP892" t="s">
        <v>74</v>
      </c>
      <c r="AQ892" t="s">
        <v>74</v>
      </c>
      <c r="AR892" t="s">
        <v>13363</v>
      </c>
      <c r="AS892" t="s">
        <v>13364</v>
      </c>
      <c r="AT892" t="s">
        <v>12471</v>
      </c>
      <c r="AU892">
        <v>2005</v>
      </c>
      <c r="AV892">
        <v>61</v>
      </c>
      <c r="AW892">
        <v>10</v>
      </c>
      <c r="AX892" t="s">
        <v>74</v>
      </c>
      <c r="AY892" t="s">
        <v>74</v>
      </c>
      <c r="AZ892" t="s">
        <v>74</v>
      </c>
      <c r="BA892" t="s">
        <v>74</v>
      </c>
      <c r="BB892">
        <v>2413</v>
      </c>
      <c r="BC892">
        <v>2417</v>
      </c>
      <c r="BD892" t="s">
        <v>74</v>
      </c>
      <c r="BE892" t="s">
        <v>13365</v>
      </c>
      <c r="BF892" t="str">
        <f>HYPERLINK("http://dx.doi.org/10.1016/j.saa.2005.02.023","http://dx.doi.org/10.1016/j.saa.2005.02.023")</f>
        <v>http://dx.doi.org/10.1016/j.saa.2005.02.023</v>
      </c>
      <c r="BG892" t="s">
        <v>74</v>
      </c>
      <c r="BH892" t="s">
        <v>74</v>
      </c>
      <c r="BI892">
        <v>5</v>
      </c>
      <c r="BJ892" t="s">
        <v>6404</v>
      </c>
      <c r="BK892" t="s">
        <v>1411</v>
      </c>
      <c r="BL892" t="s">
        <v>6404</v>
      </c>
      <c r="BM892" t="s">
        <v>13366</v>
      </c>
      <c r="BN892">
        <v>15876550</v>
      </c>
      <c r="BO892" t="s">
        <v>74</v>
      </c>
      <c r="BP892" t="s">
        <v>74</v>
      </c>
      <c r="BQ892" t="s">
        <v>74</v>
      </c>
      <c r="BR892" t="s">
        <v>101</v>
      </c>
      <c r="BS892" t="s">
        <v>13367</v>
      </c>
      <c r="BT892" t="str">
        <f>HYPERLINK("https%3A%2F%2Fwww.webofscience.com%2Fwos%2Fwoscc%2Ffull-record%2FWOS:000231027600019","View Full Record in Web of Science")</f>
        <v>View Full Record in Web of Science</v>
      </c>
    </row>
    <row r="893" spans="1:72" x14ac:dyDescent="0.15">
      <c r="A893" t="s">
        <v>72</v>
      </c>
      <c r="B893" t="s">
        <v>13368</v>
      </c>
      <c r="C893" t="s">
        <v>74</v>
      </c>
      <c r="D893" t="s">
        <v>74</v>
      </c>
      <c r="E893" t="s">
        <v>74</v>
      </c>
      <c r="F893" t="s">
        <v>13368</v>
      </c>
      <c r="G893" t="s">
        <v>74</v>
      </c>
      <c r="H893" t="s">
        <v>74</v>
      </c>
      <c r="I893" t="s">
        <v>13369</v>
      </c>
      <c r="J893" t="s">
        <v>13370</v>
      </c>
      <c r="K893" t="s">
        <v>74</v>
      </c>
      <c r="L893" t="s">
        <v>74</v>
      </c>
      <c r="M893" t="s">
        <v>77</v>
      </c>
      <c r="N893" t="s">
        <v>78</v>
      </c>
      <c r="O893" t="s">
        <v>74</v>
      </c>
      <c r="P893" t="s">
        <v>74</v>
      </c>
      <c r="Q893" t="s">
        <v>74</v>
      </c>
      <c r="R893" t="s">
        <v>74</v>
      </c>
      <c r="S893" t="s">
        <v>74</v>
      </c>
      <c r="T893" t="s">
        <v>13371</v>
      </c>
      <c r="U893" t="s">
        <v>13372</v>
      </c>
      <c r="V893" t="s">
        <v>13373</v>
      </c>
      <c r="W893" t="s">
        <v>13374</v>
      </c>
      <c r="X893" t="s">
        <v>13375</v>
      </c>
      <c r="Y893" t="s">
        <v>13376</v>
      </c>
      <c r="Z893" t="s">
        <v>13377</v>
      </c>
      <c r="AA893" t="s">
        <v>13378</v>
      </c>
      <c r="AB893" t="s">
        <v>13379</v>
      </c>
      <c r="AC893" t="s">
        <v>74</v>
      </c>
      <c r="AD893" t="s">
        <v>74</v>
      </c>
      <c r="AE893" t="s">
        <v>74</v>
      </c>
      <c r="AF893" t="s">
        <v>74</v>
      </c>
      <c r="AG893">
        <v>86</v>
      </c>
      <c r="AH893">
        <v>33</v>
      </c>
      <c r="AI893">
        <v>41</v>
      </c>
      <c r="AJ893">
        <v>1</v>
      </c>
      <c r="AK893">
        <v>25</v>
      </c>
      <c r="AL893" t="s">
        <v>13380</v>
      </c>
      <c r="AM893" t="s">
        <v>13381</v>
      </c>
      <c r="AN893" t="s">
        <v>13382</v>
      </c>
      <c r="AO893" t="s">
        <v>13383</v>
      </c>
      <c r="AP893" t="s">
        <v>74</v>
      </c>
      <c r="AQ893" t="s">
        <v>74</v>
      </c>
      <c r="AR893" t="s">
        <v>13384</v>
      </c>
      <c r="AS893" t="s">
        <v>13385</v>
      </c>
      <c r="AT893" t="s">
        <v>12471</v>
      </c>
      <c r="AU893">
        <v>2005</v>
      </c>
      <c r="AV893">
        <v>28</v>
      </c>
      <c r="AW893">
        <v>6</v>
      </c>
      <c r="AX893" t="s">
        <v>74</v>
      </c>
      <c r="AY893" t="s">
        <v>74</v>
      </c>
      <c r="AZ893" t="s">
        <v>74</v>
      </c>
      <c r="BA893" t="s">
        <v>74</v>
      </c>
      <c r="BB893">
        <v>541</v>
      </c>
      <c r="BC893">
        <v>554</v>
      </c>
      <c r="BD893" t="s">
        <v>74</v>
      </c>
      <c r="BE893" t="s">
        <v>13386</v>
      </c>
      <c r="BF893" t="str">
        <f>HYPERLINK("http://dx.doi.org/10.1016/j.syapm.2005.03.002","http://dx.doi.org/10.1016/j.syapm.2005.03.002")</f>
        <v>http://dx.doi.org/10.1016/j.syapm.2005.03.002</v>
      </c>
      <c r="BG893" t="s">
        <v>74</v>
      </c>
      <c r="BH893" t="s">
        <v>74</v>
      </c>
      <c r="BI893">
        <v>14</v>
      </c>
      <c r="BJ893" t="s">
        <v>5902</v>
      </c>
      <c r="BK893" t="s">
        <v>98</v>
      </c>
      <c r="BL893" t="s">
        <v>5902</v>
      </c>
      <c r="BM893" t="s">
        <v>13387</v>
      </c>
      <c r="BN893">
        <v>16104352</v>
      </c>
      <c r="BO893" t="s">
        <v>74</v>
      </c>
      <c r="BP893" t="s">
        <v>74</v>
      </c>
      <c r="BQ893" t="s">
        <v>74</v>
      </c>
      <c r="BR893" t="s">
        <v>101</v>
      </c>
      <c r="BS893" t="s">
        <v>13388</v>
      </c>
      <c r="BT893" t="str">
        <f>HYPERLINK("https%3A%2F%2Fwww.webofscience.com%2Fwos%2Fwoscc%2Ffull-record%2FWOS:000231171900006","View Full Record in Web of Science")</f>
        <v>View Full Record in Web of Science</v>
      </c>
    </row>
    <row r="894" spans="1:72" x14ac:dyDescent="0.15">
      <c r="A894" t="s">
        <v>72</v>
      </c>
      <c r="B894" t="s">
        <v>13389</v>
      </c>
      <c r="C894" t="s">
        <v>74</v>
      </c>
      <c r="D894" t="s">
        <v>74</v>
      </c>
      <c r="E894" t="s">
        <v>74</v>
      </c>
      <c r="F894" t="s">
        <v>13389</v>
      </c>
      <c r="G894" t="s">
        <v>74</v>
      </c>
      <c r="H894" t="s">
        <v>74</v>
      </c>
      <c r="I894" t="s">
        <v>13390</v>
      </c>
      <c r="J894" t="s">
        <v>10466</v>
      </c>
      <c r="K894" t="s">
        <v>74</v>
      </c>
      <c r="L894" t="s">
        <v>74</v>
      </c>
      <c r="M894" t="s">
        <v>77</v>
      </c>
      <c r="N894" t="s">
        <v>2361</v>
      </c>
      <c r="O894" t="s">
        <v>74</v>
      </c>
      <c r="P894" t="s">
        <v>74</v>
      </c>
      <c r="Q894" t="s">
        <v>74</v>
      </c>
      <c r="R894" t="s">
        <v>74</v>
      </c>
      <c r="S894" t="s">
        <v>74</v>
      </c>
      <c r="T894" t="s">
        <v>74</v>
      </c>
      <c r="U894" t="s">
        <v>13391</v>
      </c>
      <c r="V894" t="s">
        <v>74</v>
      </c>
      <c r="W894" t="s">
        <v>13392</v>
      </c>
      <c r="X894" t="s">
        <v>426</v>
      </c>
      <c r="Y894" t="s">
        <v>13393</v>
      </c>
      <c r="Z894" t="s">
        <v>13394</v>
      </c>
      <c r="AA894" t="s">
        <v>74</v>
      </c>
      <c r="AB894" t="s">
        <v>74</v>
      </c>
      <c r="AC894" t="s">
        <v>74</v>
      </c>
      <c r="AD894" t="s">
        <v>74</v>
      </c>
      <c r="AE894" t="s">
        <v>74</v>
      </c>
      <c r="AF894" t="s">
        <v>74</v>
      </c>
      <c r="AG894">
        <v>9</v>
      </c>
      <c r="AH894">
        <v>27</v>
      </c>
      <c r="AI894">
        <v>30</v>
      </c>
      <c r="AJ894">
        <v>0</v>
      </c>
      <c r="AK894">
        <v>10</v>
      </c>
      <c r="AL894" t="s">
        <v>10474</v>
      </c>
      <c r="AM894" t="s">
        <v>1055</v>
      </c>
      <c r="AN894" t="s">
        <v>10475</v>
      </c>
      <c r="AO894" t="s">
        <v>10476</v>
      </c>
      <c r="AP894" t="s">
        <v>74</v>
      </c>
      <c r="AQ894" t="s">
        <v>74</v>
      </c>
      <c r="AR894" t="s">
        <v>10478</v>
      </c>
      <c r="AS894" t="s">
        <v>10479</v>
      </c>
      <c r="AT894" t="s">
        <v>12471</v>
      </c>
      <c r="AU894">
        <v>2005</v>
      </c>
      <c r="AV894">
        <v>20</v>
      </c>
      <c r="AW894">
        <v>8</v>
      </c>
      <c r="AX894" t="s">
        <v>74</v>
      </c>
      <c r="AY894" t="s">
        <v>74</v>
      </c>
      <c r="AZ894" t="s">
        <v>74</v>
      </c>
      <c r="BA894" t="s">
        <v>74</v>
      </c>
      <c r="BB894">
        <v>418</v>
      </c>
      <c r="BC894">
        <v>419</v>
      </c>
      <c r="BD894" t="s">
        <v>74</v>
      </c>
      <c r="BE894" t="s">
        <v>13395</v>
      </c>
      <c r="BF894" t="str">
        <f>HYPERLINK("http://dx.doi.org/10.1016/j.tree.2005.04.013","http://dx.doi.org/10.1016/j.tree.2005.04.013")</f>
        <v>http://dx.doi.org/10.1016/j.tree.2005.04.013</v>
      </c>
      <c r="BG894" t="s">
        <v>74</v>
      </c>
      <c r="BH894" t="s">
        <v>74</v>
      </c>
      <c r="BI894">
        <v>2</v>
      </c>
      <c r="BJ894" t="s">
        <v>10481</v>
      </c>
      <c r="BK894" t="s">
        <v>98</v>
      </c>
      <c r="BL894" t="s">
        <v>10482</v>
      </c>
      <c r="BM894" t="s">
        <v>13396</v>
      </c>
      <c r="BN894">
        <v>16701407</v>
      </c>
      <c r="BO894" t="s">
        <v>7548</v>
      </c>
      <c r="BP894" t="s">
        <v>74</v>
      </c>
      <c r="BQ894" t="s">
        <v>74</v>
      </c>
      <c r="BR894" t="s">
        <v>101</v>
      </c>
      <c r="BS894" t="s">
        <v>13397</v>
      </c>
      <c r="BT894" t="str">
        <f>HYPERLINK("https%3A%2F%2Fwww.webofscience.com%2Fwos%2Fwoscc%2Ffull-record%2FWOS:000231232900004","View Full Record in Web of Science")</f>
        <v>View Full Record in Web of Science</v>
      </c>
    </row>
    <row r="895" spans="1:72" x14ac:dyDescent="0.15">
      <c r="A895" t="s">
        <v>72</v>
      </c>
      <c r="B895" t="s">
        <v>13398</v>
      </c>
      <c r="C895" t="s">
        <v>74</v>
      </c>
      <c r="D895" t="s">
        <v>74</v>
      </c>
      <c r="E895" t="s">
        <v>74</v>
      </c>
      <c r="F895" t="s">
        <v>13398</v>
      </c>
      <c r="G895" t="s">
        <v>74</v>
      </c>
      <c r="H895" t="s">
        <v>74</v>
      </c>
      <c r="I895" t="s">
        <v>13399</v>
      </c>
      <c r="J895" t="s">
        <v>5045</v>
      </c>
      <c r="K895" t="s">
        <v>74</v>
      </c>
      <c r="L895" t="s">
        <v>74</v>
      </c>
      <c r="M895" t="s">
        <v>5046</v>
      </c>
      <c r="N895" t="s">
        <v>78</v>
      </c>
      <c r="O895" t="s">
        <v>74</v>
      </c>
      <c r="P895" t="s">
        <v>74</v>
      </c>
      <c r="Q895" t="s">
        <v>74</v>
      </c>
      <c r="R895" t="s">
        <v>74</v>
      </c>
      <c r="S895" t="s">
        <v>74</v>
      </c>
      <c r="T895" t="s">
        <v>74</v>
      </c>
      <c r="U895" t="s">
        <v>74</v>
      </c>
      <c r="V895" t="s">
        <v>13400</v>
      </c>
      <c r="W895" t="s">
        <v>13401</v>
      </c>
      <c r="X895" t="s">
        <v>13402</v>
      </c>
      <c r="Y895" t="s">
        <v>13403</v>
      </c>
      <c r="Z895" t="s">
        <v>13404</v>
      </c>
      <c r="AA895" t="s">
        <v>74</v>
      </c>
      <c r="AB895" t="s">
        <v>74</v>
      </c>
      <c r="AC895" t="s">
        <v>74</v>
      </c>
      <c r="AD895" t="s">
        <v>74</v>
      </c>
      <c r="AE895" t="s">
        <v>74</v>
      </c>
      <c r="AF895" t="s">
        <v>74</v>
      </c>
      <c r="AG895">
        <v>57</v>
      </c>
      <c r="AH895">
        <v>5</v>
      </c>
      <c r="AI895">
        <v>7</v>
      </c>
      <c r="AJ895">
        <v>0</v>
      </c>
      <c r="AK895">
        <v>0</v>
      </c>
      <c r="AL895" t="s">
        <v>5053</v>
      </c>
      <c r="AM895" t="s">
        <v>5054</v>
      </c>
      <c r="AN895" t="s">
        <v>5055</v>
      </c>
      <c r="AO895" t="s">
        <v>5056</v>
      </c>
      <c r="AP895" t="s">
        <v>74</v>
      </c>
      <c r="AQ895" t="s">
        <v>74</v>
      </c>
      <c r="AR895" t="s">
        <v>5057</v>
      </c>
      <c r="AS895" t="s">
        <v>5058</v>
      </c>
      <c r="AT895" t="s">
        <v>12471</v>
      </c>
      <c r="AU895">
        <v>2005</v>
      </c>
      <c r="AV895">
        <v>84</v>
      </c>
      <c r="AW895">
        <v>8</v>
      </c>
      <c r="AX895" t="s">
        <v>74</v>
      </c>
      <c r="AY895" t="s">
        <v>74</v>
      </c>
      <c r="AZ895" t="s">
        <v>74</v>
      </c>
      <c r="BA895" t="s">
        <v>74</v>
      </c>
      <c r="BB895">
        <v>957</v>
      </c>
      <c r="BC895">
        <v>973</v>
      </c>
      <c r="BD895" t="s">
        <v>74</v>
      </c>
      <c r="BE895" t="s">
        <v>74</v>
      </c>
      <c r="BF895" t="s">
        <v>74</v>
      </c>
      <c r="BG895" t="s">
        <v>74</v>
      </c>
      <c r="BH895" t="s">
        <v>74</v>
      </c>
      <c r="BI895">
        <v>17</v>
      </c>
      <c r="BJ895" t="s">
        <v>532</v>
      </c>
      <c r="BK895" t="s">
        <v>98</v>
      </c>
      <c r="BL895" t="s">
        <v>532</v>
      </c>
      <c r="BM895" t="s">
        <v>13405</v>
      </c>
      <c r="BN895" t="s">
        <v>74</v>
      </c>
      <c r="BO895" t="s">
        <v>74</v>
      </c>
      <c r="BP895" t="s">
        <v>74</v>
      </c>
      <c r="BQ895" t="s">
        <v>74</v>
      </c>
      <c r="BR895" t="s">
        <v>101</v>
      </c>
      <c r="BS895" t="s">
        <v>13406</v>
      </c>
      <c r="BT895" t="str">
        <f>HYPERLINK("https%3A%2F%2Fwww.webofscience.com%2Fwos%2Fwoscc%2Ffull-record%2FWOS:000232188500007","View Full Record in Web of Science")</f>
        <v>View Full Record in Web of Science</v>
      </c>
    </row>
    <row r="896" spans="1:72" x14ac:dyDescent="0.15">
      <c r="A896" t="s">
        <v>72</v>
      </c>
      <c r="B896" t="s">
        <v>13407</v>
      </c>
      <c r="C896" t="s">
        <v>74</v>
      </c>
      <c r="D896" t="s">
        <v>74</v>
      </c>
      <c r="E896" t="s">
        <v>74</v>
      </c>
      <c r="F896" t="s">
        <v>13407</v>
      </c>
      <c r="G896" t="s">
        <v>74</v>
      </c>
      <c r="H896" t="s">
        <v>74</v>
      </c>
      <c r="I896" t="s">
        <v>13408</v>
      </c>
      <c r="J896" t="s">
        <v>5339</v>
      </c>
      <c r="K896" t="s">
        <v>74</v>
      </c>
      <c r="L896" t="s">
        <v>74</v>
      </c>
      <c r="M896" t="s">
        <v>77</v>
      </c>
      <c r="N896" t="s">
        <v>78</v>
      </c>
      <c r="O896" t="s">
        <v>74</v>
      </c>
      <c r="P896" t="s">
        <v>74</v>
      </c>
      <c r="Q896" t="s">
        <v>74</v>
      </c>
      <c r="R896" t="s">
        <v>74</v>
      </c>
      <c r="S896" t="s">
        <v>74</v>
      </c>
      <c r="T896" t="s">
        <v>13409</v>
      </c>
      <c r="U896" t="s">
        <v>13410</v>
      </c>
      <c r="V896" t="s">
        <v>13411</v>
      </c>
      <c r="W896" t="s">
        <v>13412</v>
      </c>
      <c r="X896" t="s">
        <v>731</v>
      </c>
      <c r="Y896" t="s">
        <v>5407</v>
      </c>
      <c r="Z896" t="s">
        <v>13413</v>
      </c>
      <c r="AA896" t="s">
        <v>13414</v>
      </c>
      <c r="AB896" t="s">
        <v>13415</v>
      </c>
      <c r="AC896" t="s">
        <v>74</v>
      </c>
      <c r="AD896" t="s">
        <v>74</v>
      </c>
      <c r="AE896" t="s">
        <v>74</v>
      </c>
      <c r="AF896" t="s">
        <v>74</v>
      </c>
      <c r="AG896">
        <v>33</v>
      </c>
      <c r="AH896">
        <v>262</v>
      </c>
      <c r="AI896">
        <v>288</v>
      </c>
      <c r="AJ896">
        <v>7</v>
      </c>
      <c r="AK896">
        <v>81</v>
      </c>
      <c r="AL896" t="s">
        <v>1147</v>
      </c>
      <c r="AM896" t="s">
        <v>1148</v>
      </c>
      <c r="AN896" t="s">
        <v>1149</v>
      </c>
      <c r="AO896" t="s">
        <v>5349</v>
      </c>
      <c r="AP896" t="s">
        <v>5350</v>
      </c>
      <c r="AQ896" t="s">
        <v>74</v>
      </c>
      <c r="AR896" t="s">
        <v>5351</v>
      </c>
      <c r="AS896" t="s">
        <v>5352</v>
      </c>
      <c r="AT896" t="s">
        <v>13416</v>
      </c>
      <c r="AU896">
        <v>2005</v>
      </c>
      <c r="AV896">
        <v>236</v>
      </c>
      <c r="AW896" t="s">
        <v>485</v>
      </c>
      <c r="AX896" t="s">
        <v>74</v>
      </c>
      <c r="AY896" t="s">
        <v>74</v>
      </c>
      <c r="AZ896" t="s">
        <v>74</v>
      </c>
      <c r="BA896" t="s">
        <v>74</v>
      </c>
      <c r="BB896">
        <v>459</v>
      </c>
      <c r="BC896">
        <v>470</v>
      </c>
      <c r="BD896" t="s">
        <v>74</v>
      </c>
      <c r="BE896" t="s">
        <v>13417</v>
      </c>
      <c r="BF896" t="str">
        <f>HYPERLINK("http://dx.doi.org/10.1016/j.epsl.2005.03.027","http://dx.doi.org/10.1016/j.epsl.2005.03.027")</f>
        <v>http://dx.doi.org/10.1016/j.epsl.2005.03.027</v>
      </c>
      <c r="BG896" t="s">
        <v>74</v>
      </c>
      <c r="BH896" t="s">
        <v>74</v>
      </c>
      <c r="BI896">
        <v>12</v>
      </c>
      <c r="BJ896" t="s">
        <v>1348</v>
      </c>
      <c r="BK896" t="s">
        <v>98</v>
      </c>
      <c r="BL896" t="s">
        <v>1348</v>
      </c>
      <c r="BM896" t="s">
        <v>13418</v>
      </c>
      <c r="BN896" t="s">
        <v>74</v>
      </c>
      <c r="BO896" t="s">
        <v>722</v>
      </c>
      <c r="BP896" t="s">
        <v>74</v>
      </c>
      <c r="BQ896" t="s">
        <v>74</v>
      </c>
      <c r="BR896" t="s">
        <v>101</v>
      </c>
      <c r="BS896" t="s">
        <v>13419</v>
      </c>
      <c r="BT896" t="str">
        <f>HYPERLINK("https%3A%2F%2Fwww.webofscience.com%2Fwos%2Fwoscc%2Ffull-record%2FWOS:000231432700034","View Full Record in Web of Science")</f>
        <v>View Full Record in Web of Science</v>
      </c>
    </row>
    <row r="897" spans="1:72" x14ac:dyDescent="0.15">
      <c r="A897" t="s">
        <v>72</v>
      </c>
      <c r="B897" t="s">
        <v>13420</v>
      </c>
      <c r="C897" t="s">
        <v>74</v>
      </c>
      <c r="D897" t="s">
        <v>74</v>
      </c>
      <c r="E897" t="s">
        <v>74</v>
      </c>
      <c r="F897" t="s">
        <v>13420</v>
      </c>
      <c r="G897" t="s">
        <v>74</v>
      </c>
      <c r="H897" t="s">
        <v>74</v>
      </c>
      <c r="I897" t="s">
        <v>13421</v>
      </c>
      <c r="J897" t="s">
        <v>13422</v>
      </c>
      <c r="K897" t="s">
        <v>74</v>
      </c>
      <c r="L897" t="s">
        <v>74</v>
      </c>
      <c r="M897" t="s">
        <v>77</v>
      </c>
      <c r="N897" t="s">
        <v>78</v>
      </c>
      <c r="O897" t="s">
        <v>74</v>
      </c>
      <c r="P897" t="s">
        <v>74</v>
      </c>
      <c r="Q897" t="s">
        <v>74</v>
      </c>
      <c r="R897" t="s">
        <v>74</v>
      </c>
      <c r="S897" t="s">
        <v>74</v>
      </c>
      <c r="T897" t="s">
        <v>13423</v>
      </c>
      <c r="U897" t="s">
        <v>13424</v>
      </c>
      <c r="V897" t="s">
        <v>13425</v>
      </c>
      <c r="W897" t="s">
        <v>13426</v>
      </c>
      <c r="X897" t="s">
        <v>13427</v>
      </c>
      <c r="Y897" t="s">
        <v>13428</v>
      </c>
      <c r="Z897" t="s">
        <v>13429</v>
      </c>
      <c r="AA897" t="s">
        <v>13430</v>
      </c>
      <c r="AB897" t="s">
        <v>13431</v>
      </c>
      <c r="AC897" t="s">
        <v>74</v>
      </c>
      <c r="AD897" t="s">
        <v>74</v>
      </c>
      <c r="AE897" t="s">
        <v>74</v>
      </c>
      <c r="AF897" t="s">
        <v>74</v>
      </c>
      <c r="AG897">
        <v>48</v>
      </c>
      <c r="AH897">
        <v>73</v>
      </c>
      <c r="AI897">
        <v>84</v>
      </c>
      <c r="AJ897">
        <v>0</v>
      </c>
      <c r="AK897">
        <v>17</v>
      </c>
      <c r="AL897" t="s">
        <v>3283</v>
      </c>
      <c r="AM897" t="s">
        <v>1148</v>
      </c>
      <c r="AN897" t="s">
        <v>3284</v>
      </c>
      <c r="AO897" t="s">
        <v>13432</v>
      </c>
      <c r="AP897" t="s">
        <v>13433</v>
      </c>
      <c r="AQ897" t="s">
        <v>74</v>
      </c>
      <c r="AR897" t="s">
        <v>13434</v>
      </c>
      <c r="AS897" t="s">
        <v>13435</v>
      </c>
      <c r="AT897" t="s">
        <v>13416</v>
      </c>
      <c r="AU897">
        <v>2005</v>
      </c>
      <c r="AV897">
        <v>145</v>
      </c>
      <c r="AW897" t="s">
        <v>530</v>
      </c>
      <c r="AX897" t="s">
        <v>74</v>
      </c>
      <c r="AY897" t="s">
        <v>74</v>
      </c>
      <c r="AZ897" t="s">
        <v>74</v>
      </c>
      <c r="BA897" t="s">
        <v>74</v>
      </c>
      <c r="BB897">
        <v>207</v>
      </c>
      <c r="BC897">
        <v>233</v>
      </c>
      <c r="BD897" t="s">
        <v>74</v>
      </c>
      <c r="BE897" t="s">
        <v>13436</v>
      </c>
      <c r="BF897" t="str">
        <f>HYPERLINK("http://dx.doi.org/10.1016/j.jvolgeores.2005.01.014","http://dx.doi.org/10.1016/j.jvolgeores.2005.01.014")</f>
        <v>http://dx.doi.org/10.1016/j.jvolgeores.2005.01.014</v>
      </c>
      <c r="BG897" t="s">
        <v>74</v>
      </c>
      <c r="BH897" t="s">
        <v>74</v>
      </c>
      <c r="BI897">
        <v>27</v>
      </c>
      <c r="BJ897" t="s">
        <v>1129</v>
      </c>
      <c r="BK897" t="s">
        <v>98</v>
      </c>
      <c r="BL897" t="s">
        <v>1130</v>
      </c>
      <c r="BM897" t="s">
        <v>13437</v>
      </c>
      <c r="BN897" t="s">
        <v>74</v>
      </c>
      <c r="BO897" t="s">
        <v>74</v>
      </c>
      <c r="BP897" t="s">
        <v>74</v>
      </c>
      <c r="BQ897" t="s">
        <v>74</v>
      </c>
      <c r="BR897" t="s">
        <v>101</v>
      </c>
      <c r="BS897" t="s">
        <v>13438</v>
      </c>
      <c r="BT897" t="str">
        <f>HYPERLINK("https%3A%2F%2Fwww.webofscience.com%2Fwos%2Fwoscc%2Ffull-record%2FWOS:000231302800003","View Full Record in Web of Science")</f>
        <v>View Full Record in Web of Science</v>
      </c>
    </row>
    <row r="898" spans="1:72" x14ac:dyDescent="0.15">
      <c r="A898" t="s">
        <v>72</v>
      </c>
      <c r="B898" t="s">
        <v>13439</v>
      </c>
      <c r="C898" t="s">
        <v>74</v>
      </c>
      <c r="D898" t="s">
        <v>74</v>
      </c>
      <c r="E898" t="s">
        <v>74</v>
      </c>
      <c r="F898" t="s">
        <v>13439</v>
      </c>
      <c r="G898" t="s">
        <v>74</v>
      </c>
      <c r="H898" t="s">
        <v>74</v>
      </c>
      <c r="I898" t="s">
        <v>13440</v>
      </c>
      <c r="J898" t="s">
        <v>13422</v>
      </c>
      <c r="K898" t="s">
        <v>74</v>
      </c>
      <c r="L898" t="s">
        <v>74</v>
      </c>
      <c r="M898" t="s">
        <v>77</v>
      </c>
      <c r="N898" t="s">
        <v>289</v>
      </c>
      <c r="O898" t="s">
        <v>74</v>
      </c>
      <c r="P898" t="s">
        <v>74</v>
      </c>
      <c r="Q898" t="s">
        <v>74</v>
      </c>
      <c r="R898" t="s">
        <v>74</v>
      </c>
      <c r="S898" t="s">
        <v>74</v>
      </c>
      <c r="T898" t="s">
        <v>13441</v>
      </c>
      <c r="U898" t="s">
        <v>13442</v>
      </c>
      <c r="V898" t="s">
        <v>13443</v>
      </c>
      <c r="W898" t="s">
        <v>13444</v>
      </c>
      <c r="X898" t="s">
        <v>13445</v>
      </c>
      <c r="Y898" t="s">
        <v>13446</v>
      </c>
      <c r="Z898" t="s">
        <v>8617</v>
      </c>
      <c r="AA898" t="s">
        <v>13447</v>
      </c>
      <c r="AB898" t="s">
        <v>13448</v>
      </c>
      <c r="AC898" t="s">
        <v>74</v>
      </c>
      <c r="AD898" t="s">
        <v>74</v>
      </c>
      <c r="AE898" t="s">
        <v>74</v>
      </c>
      <c r="AF898" t="s">
        <v>74</v>
      </c>
      <c r="AG898">
        <v>215</v>
      </c>
      <c r="AH898">
        <v>126</v>
      </c>
      <c r="AI898">
        <v>137</v>
      </c>
      <c r="AJ898">
        <v>0</v>
      </c>
      <c r="AK898">
        <v>40</v>
      </c>
      <c r="AL898" t="s">
        <v>3283</v>
      </c>
      <c r="AM898" t="s">
        <v>1148</v>
      </c>
      <c r="AN898" t="s">
        <v>3284</v>
      </c>
      <c r="AO898" t="s">
        <v>13432</v>
      </c>
      <c r="AP898" t="s">
        <v>13433</v>
      </c>
      <c r="AQ898" t="s">
        <v>74</v>
      </c>
      <c r="AR898" t="s">
        <v>13434</v>
      </c>
      <c r="AS898" t="s">
        <v>13435</v>
      </c>
      <c r="AT898" t="s">
        <v>13416</v>
      </c>
      <c r="AU898">
        <v>2005</v>
      </c>
      <c r="AV898">
        <v>145</v>
      </c>
      <c r="AW898" t="s">
        <v>530</v>
      </c>
      <c r="AX898" t="s">
        <v>74</v>
      </c>
      <c r="AY898" t="s">
        <v>74</v>
      </c>
      <c r="AZ898" t="s">
        <v>74</v>
      </c>
      <c r="BA898" t="s">
        <v>74</v>
      </c>
      <c r="BB898">
        <v>281</v>
      </c>
      <c r="BC898">
        <v>314</v>
      </c>
      <c r="BD898" t="s">
        <v>74</v>
      </c>
      <c r="BE898" t="s">
        <v>13449</v>
      </c>
      <c r="BF898" t="str">
        <f>HYPERLINK("http://dx.doi.org/10.1016/j.jvolgeores.2005.02.003","http://dx.doi.org/10.1016/j.jvolgeores.2005.02.003")</f>
        <v>http://dx.doi.org/10.1016/j.jvolgeores.2005.02.003</v>
      </c>
      <c r="BG898" t="s">
        <v>74</v>
      </c>
      <c r="BH898" t="s">
        <v>74</v>
      </c>
      <c r="BI898">
        <v>34</v>
      </c>
      <c r="BJ898" t="s">
        <v>1129</v>
      </c>
      <c r="BK898" t="s">
        <v>98</v>
      </c>
      <c r="BL898" t="s">
        <v>1130</v>
      </c>
      <c r="BM898" t="s">
        <v>13437</v>
      </c>
      <c r="BN898" t="s">
        <v>74</v>
      </c>
      <c r="BO898" t="s">
        <v>4083</v>
      </c>
      <c r="BP898" t="s">
        <v>74</v>
      </c>
      <c r="BQ898" t="s">
        <v>74</v>
      </c>
      <c r="BR898" t="s">
        <v>101</v>
      </c>
      <c r="BS898" t="s">
        <v>13450</v>
      </c>
      <c r="BT898" t="str">
        <f>HYPERLINK("https%3A%2F%2Fwww.webofscience.com%2Fwos%2Fwoscc%2Ffull-record%2FWOS:000231302800007","View Full Record in Web of Science")</f>
        <v>View Full Record in Web of Science</v>
      </c>
    </row>
    <row r="899" spans="1:72" x14ac:dyDescent="0.15">
      <c r="A899" t="s">
        <v>72</v>
      </c>
      <c r="B899" t="s">
        <v>13451</v>
      </c>
      <c r="C899" t="s">
        <v>74</v>
      </c>
      <c r="D899" t="s">
        <v>74</v>
      </c>
      <c r="E899" t="s">
        <v>74</v>
      </c>
      <c r="F899" t="s">
        <v>13451</v>
      </c>
      <c r="G899" t="s">
        <v>74</v>
      </c>
      <c r="H899" t="s">
        <v>74</v>
      </c>
      <c r="I899" t="s">
        <v>13452</v>
      </c>
      <c r="J899" t="s">
        <v>13453</v>
      </c>
      <c r="K899" t="s">
        <v>74</v>
      </c>
      <c r="L899" t="s">
        <v>74</v>
      </c>
      <c r="M899" t="s">
        <v>77</v>
      </c>
      <c r="N899" t="s">
        <v>78</v>
      </c>
      <c r="O899" t="s">
        <v>74</v>
      </c>
      <c r="P899" t="s">
        <v>74</v>
      </c>
      <c r="Q899" t="s">
        <v>74</v>
      </c>
      <c r="R899" t="s">
        <v>74</v>
      </c>
      <c r="S899" t="s">
        <v>74</v>
      </c>
      <c r="T899" t="s">
        <v>13454</v>
      </c>
      <c r="U899" t="s">
        <v>13455</v>
      </c>
      <c r="V899" t="s">
        <v>13456</v>
      </c>
      <c r="W899" t="s">
        <v>13457</v>
      </c>
      <c r="X899" t="s">
        <v>8970</v>
      </c>
      <c r="Y899" t="s">
        <v>13458</v>
      </c>
      <c r="Z899" t="s">
        <v>13459</v>
      </c>
      <c r="AA899" t="s">
        <v>74</v>
      </c>
      <c r="AB899" t="s">
        <v>13460</v>
      </c>
      <c r="AC899" t="s">
        <v>74</v>
      </c>
      <c r="AD899" t="s">
        <v>74</v>
      </c>
      <c r="AE899" t="s">
        <v>74</v>
      </c>
      <c r="AF899" t="s">
        <v>74</v>
      </c>
      <c r="AG899">
        <v>26</v>
      </c>
      <c r="AH899">
        <v>11</v>
      </c>
      <c r="AI899">
        <v>12</v>
      </c>
      <c r="AJ899">
        <v>0</v>
      </c>
      <c r="AK899">
        <v>3</v>
      </c>
      <c r="AL899" t="s">
        <v>8860</v>
      </c>
      <c r="AM899" t="s">
        <v>89</v>
      </c>
      <c r="AN899" t="s">
        <v>8861</v>
      </c>
      <c r="AO899" t="s">
        <v>13461</v>
      </c>
      <c r="AP899" t="s">
        <v>74</v>
      </c>
      <c r="AQ899" t="s">
        <v>74</v>
      </c>
      <c r="AR899" t="s">
        <v>13462</v>
      </c>
      <c r="AS899" t="s">
        <v>13463</v>
      </c>
      <c r="AT899" t="s">
        <v>13416</v>
      </c>
      <c r="AU899">
        <v>2005</v>
      </c>
      <c r="AV899">
        <v>97</v>
      </c>
      <c r="AW899">
        <v>2</v>
      </c>
      <c r="AX899" t="s">
        <v>74</v>
      </c>
      <c r="AY899" t="s">
        <v>74</v>
      </c>
      <c r="AZ899" t="s">
        <v>74</v>
      </c>
      <c r="BA899" t="s">
        <v>74</v>
      </c>
      <c r="BB899">
        <v>231</v>
      </c>
      <c r="BC899">
        <v>237</v>
      </c>
      <c r="BD899" t="s">
        <v>74</v>
      </c>
      <c r="BE899" t="s">
        <v>13464</v>
      </c>
      <c r="BF899" t="str">
        <f>HYPERLINK("http://dx.doi.org/10.1016/j.rse.2005.04.016","http://dx.doi.org/10.1016/j.rse.2005.04.016")</f>
        <v>http://dx.doi.org/10.1016/j.rse.2005.04.016</v>
      </c>
      <c r="BG899" t="s">
        <v>74</v>
      </c>
      <c r="BH899" t="s">
        <v>74</v>
      </c>
      <c r="BI899">
        <v>7</v>
      </c>
      <c r="BJ899" t="s">
        <v>13465</v>
      </c>
      <c r="BK899" t="s">
        <v>98</v>
      </c>
      <c r="BL899" t="s">
        <v>13466</v>
      </c>
      <c r="BM899" t="s">
        <v>13467</v>
      </c>
      <c r="BN899" t="s">
        <v>74</v>
      </c>
      <c r="BO899" t="s">
        <v>74</v>
      </c>
      <c r="BP899" t="s">
        <v>74</v>
      </c>
      <c r="BQ899" t="s">
        <v>74</v>
      </c>
      <c r="BR899" t="s">
        <v>101</v>
      </c>
      <c r="BS899" t="s">
        <v>13468</v>
      </c>
      <c r="BT899" t="str">
        <f>HYPERLINK("https%3A%2F%2Fwww.webofscience.com%2Fwos%2Fwoscc%2Ffull-record%2FWOS:000231232700007","View Full Record in Web of Science")</f>
        <v>View Full Record in Web of Science</v>
      </c>
    </row>
    <row r="900" spans="1:72" x14ac:dyDescent="0.15">
      <c r="A900" t="s">
        <v>72</v>
      </c>
      <c r="B900" t="s">
        <v>13469</v>
      </c>
      <c r="C900" t="s">
        <v>74</v>
      </c>
      <c r="D900" t="s">
        <v>74</v>
      </c>
      <c r="E900" t="s">
        <v>74</v>
      </c>
      <c r="F900" t="s">
        <v>13469</v>
      </c>
      <c r="G900" t="s">
        <v>74</v>
      </c>
      <c r="H900" t="s">
        <v>74</v>
      </c>
      <c r="I900" t="s">
        <v>13470</v>
      </c>
      <c r="J900" t="s">
        <v>5134</v>
      </c>
      <c r="K900" t="s">
        <v>74</v>
      </c>
      <c r="L900" t="s">
        <v>74</v>
      </c>
      <c r="M900" t="s">
        <v>77</v>
      </c>
      <c r="N900" t="s">
        <v>78</v>
      </c>
      <c r="O900" t="s">
        <v>74</v>
      </c>
      <c r="P900" t="s">
        <v>74</v>
      </c>
      <c r="Q900" t="s">
        <v>74</v>
      </c>
      <c r="R900" t="s">
        <v>74</v>
      </c>
      <c r="S900" t="s">
        <v>74</v>
      </c>
      <c r="T900" t="s">
        <v>74</v>
      </c>
      <c r="U900" t="s">
        <v>13471</v>
      </c>
      <c r="V900" t="s">
        <v>13472</v>
      </c>
      <c r="W900" t="s">
        <v>13473</v>
      </c>
      <c r="X900" t="s">
        <v>8893</v>
      </c>
      <c r="Y900" t="s">
        <v>13474</v>
      </c>
      <c r="Z900" t="s">
        <v>643</v>
      </c>
      <c r="AA900" t="s">
        <v>644</v>
      </c>
      <c r="AB900" t="s">
        <v>13475</v>
      </c>
      <c r="AC900" t="s">
        <v>74</v>
      </c>
      <c r="AD900" t="s">
        <v>74</v>
      </c>
      <c r="AE900" t="s">
        <v>74</v>
      </c>
      <c r="AF900" t="s">
        <v>74</v>
      </c>
      <c r="AG900">
        <v>14</v>
      </c>
      <c r="AH900">
        <v>23</v>
      </c>
      <c r="AI900">
        <v>31</v>
      </c>
      <c r="AJ900">
        <v>0</v>
      </c>
      <c r="AK900">
        <v>3</v>
      </c>
      <c r="AL900" t="s">
        <v>4487</v>
      </c>
      <c r="AM900" t="s">
        <v>2541</v>
      </c>
      <c r="AN900" t="s">
        <v>4488</v>
      </c>
      <c r="AO900" t="s">
        <v>5142</v>
      </c>
      <c r="AP900" t="s">
        <v>5143</v>
      </c>
      <c r="AQ900" t="s">
        <v>74</v>
      </c>
      <c r="AR900" t="s">
        <v>5144</v>
      </c>
      <c r="AS900" t="s">
        <v>5145</v>
      </c>
      <c r="AT900" t="s">
        <v>13476</v>
      </c>
      <c r="AU900">
        <v>2005</v>
      </c>
      <c r="AV900">
        <v>32</v>
      </c>
      <c r="AW900">
        <v>14</v>
      </c>
      <c r="AX900" t="s">
        <v>74</v>
      </c>
      <c r="AY900" t="s">
        <v>74</v>
      </c>
      <c r="AZ900" t="s">
        <v>74</v>
      </c>
      <c r="BA900" t="s">
        <v>74</v>
      </c>
      <c r="BB900" t="s">
        <v>74</v>
      </c>
      <c r="BC900" t="s">
        <v>74</v>
      </c>
      <c r="BD900" t="s">
        <v>13477</v>
      </c>
      <c r="BE900" t="s">
        <v>13478</v>
      </c>
      <c r="BF900" t="str">
        <f>HYPERLINK("http://dx.doi.org/10.1029/2005GL023214","http://dx.doi.org/10.1029/2005GL023214")</f>
        <v>http://dx.doi.org/10.1029/2005GL023214</v>
      </c>
      <c r="BG900" t="s">
        <v>74</v>
      </c>
      <c r="BH900" t="s">
        <v>74</v>
      </c>
      <c r="BI900">
        <v>4</v>
      </c>
      <c r="BJ900" t="s">
        <v>1129</v>
      </c>
      <c r="BK900" t="s">
        <v>98</v>
      </c>
      <c r="BL900" t="s">
        <v>1130</v>
      </c>
      <c r="BM900" t="s">
        <v>13479</v>
      </c>
      <c r="BN900" t="s">
        <v>74</v>
      </c>
      <c r="BO900" t="s">
        <v>1900</v>
      </c>
      <c r="BP900" t="s">
        <v>74</v>
      </c>
      <c r="BQ900" t="s">
        <v>74</v>
      </c>
      <c r="BR900" t="s">
        <v>101</v>
      </c>
      <c r="BS900" t="s">
        <v>13480</v>
      </c>
      <c r="BT900" t="str">
        <f>HYPERLINK("https%3A%2F%2Fwww.webofscience.com%2Fwos%2Fwoscc%2Ffull-record%2FWOS:000230934800006","View Full Record in Web of Science")</f>
        <v>View Full Record in Web of Science</v>
      </c>
    </row>
    <row r="901" spans="1:72" x14ac:dyDescent="0.15">
      <c r="A901" t="s">
        <v>72</v>
      </c>
      <c r="B901" t="s">
        <v>13481</v>
      </c>
      <c r="C901" t="s">
        <v>74</v>
      </c>
      <c r="D901" t="s">
        <v>74</v>
      </c>
      <c r="E901" t="s">
        <v>74</v>
      </c>
      <c r="F901" t="s">
        <v>13481</v>
      </c>
      <c r="G901" t="s">
        <v>74</v>
      </c>
      <c r="H901" t="s">
        <v>74</v>
      </c>
      <c r="I901" t="s">
        <v>13482</v>
      </c>
      <c r="J901" t="s">
        <v>5112</v>
      </c>
      <c r="K901" t="s">
        <v>74</v>
      </c>
      <c r="L901" t="s">
        <v>74</v>
      </c>
      <c r="M901" t="s">
        <v>77</v>
      </c>
      <c r="N901" t="s">
        <v>78</v>
      </c>
      <c r="O901" t="s">
        <v>74</v>
      </c>
      <c r="P901" t="s">
        <v>74</v>
      </c>
      <c r="Q901" t="s">
        <v>74</v>
      </c>
      <c r="R901" t="s">
        <v>74</v>
      </c>
      <c r="S901" t="s">
        <v>74</v>
      </c>
      <c r="T901" t="s">
        <v>74</v>
      </c>
      <c r="U901" t="s">
        <v>13483</v>
      </c>
      <c r="V901" t="s">
        <v>13484</v>
      </c>
      <c r="W901" t="s">
        <v>13485</v>
      </c>
      <c r="X901" t="s">
        <v>13486</v>
      </c>
      <c r="Y901" t="s">
        <v>13487</v>
      </c>
      <c r="Z901" t="s">
        <v>13488</v>
      </c>
      <c r="AA901" t="s">
        <v>74</v>
      </c>
      <c r="AB901" t="s">
        <v>74</v>
      </c>
      <c r="AC901" t="s">
        <v>74</v>
      </c>
      <c r="AD901" t="s">
        <v>74</v>
      </c>
      <c r="AE901" t="s">
        <v>74</v>
      </c>
      <c r="AF901" t="s">
        <v>74</v>
      </c>
      <c r="AG901">
        <v>67</v>
      </c>
      <c r="AH901">
        <v>33</v>
      </c>
      <c r="AI901">
        <v>37</v>
      </c>
      <c r="AJ901">
        <v>0</v>
      </c>
      <c r="AK901">
        <v>5</v>
      </c>
      <c r="AL901" t="s">
        <v>4487</v>
      </c>
      <c r="AM901" t="s">
        <v>2541</v>
      </c>
      <c r="AN901" t="s">
        <v>4488</v>
      </c>
      <c r="AO901" t="s">
        <v>5121</v>
      </c>
      <c r="AP901" t="s">
        <v>5122</v>
      </c>
      <c r="AQ901" t="s">
        <v>74</v>
      </c>
      <c r="AR901" t="s">
        <v>5123</v>
      </c>
      <c r="AS901" t="s">
        <v>5124</v>
      </c>
      <c r="AT901" t="s">
        <v>13476</v>
      </c>
      <c r="AU901">
        <v>2005</v>
      </c>
      <c r="AV901">
        <v>19</v>
      </c>
      <c r="AW901">
        <v>3</v>
      </c>
      <c r="AX901" t="s">
        <v>74</v>
      </c>
      <c r="AY901" t="s">
        <v>74</v>
      </c>
      <c r="AZ901" t="s">
        <v>74</v>
      </c>
      <c r="BA901" t="s">
        <v>74</v>
      </c>
      <c r="BB901" t="s">
        <v>74</v>
      </c>
      <c r="BC901" t="s">
        <v>74</v>
      </c>
      <c r="BD901" t="s">
        <v>13489</v>
      </c>
      <c r="BE901" t="s">
        <v>13490</v>
      </c>
      <c r="BF901" t="str">
        <f>HYPERLINK("http://dx.doi.org/10.1029/2004GB002344","http://dx.doi.org/10.1029/2004GB002344")</f>
        <v>http://dx.doi.org/10.1029/2004GB002344</v>
      </c>
      <c r="BG901" t="s">
        <v>74</v>
      </c>
      <c r="BH901" t="s">
        <v>74</v>
      </c>
      <c r="BI901">
        <v>10</v>
      </c>
      <c r="BJ901" t="s">
        <v>5128</v>
      </c>
      <c r="BK901" t="s">
        <v>98</v>
      </c>
      <c r="BL901" t="s">
        <v>5129</v>
      </c>
      <c r="BM901" t="s">
        <v>13491</v>
      </c>
      <c r="BN901" t="s">
        <v>74</v>
      </c>
      <c r="BO901" t="s">
        <v>5301</v>
      </c>
      <c r="BP901" t="s">
        <v>74</v>
      </c>
      <c r="BQ901" t="s">
        <v>74</v>
      </c>
      <c r="BR901" t="s">
        <v>101</v>
      </c>
      <c r="BS901" t="s">
        <v>13492</v>
      </c>
      <c r="BT901" t="str">
        <f>HYPERLINK("https%3A%2F%2Fwww.webofscience.com%2Fwos%2Fwoscc%2Ffull-record%2FWOS:000230935400002","View Full Record in Web of Science")</f>
        <v>View Full Record in Web of Science</v>
      </c>
    </row>
    <row r="902" spans="1:72" x14ac:dyDescent="0.15">
      <c r="A902" t="s">
        <v>72</v>
      </c>
      <c r="B902" t="s">
        <v>13493</v>
      </c>
      <c r="C902" t="s">
        <v>74</v>
      </c>
      <c r="D902" t="s">
        <v>74</v>
      </c>
      <c r="E902" t="s">
        <v>74</v>
      </c>
      <c r="F902" t="s">
        <v>13493</v>
      </c>
      <c r="G902" t="s">
        <v>74</v>
      </c>
      <c r="H902" t="s">
        <v>74</v>
      </c>
      <c r="I902" t="s">
        <v>13494</v>
      </c>
      <c r="J902" t="s">
        <v>7721</v>
      </c>
      <c r="K902" t="s">
        <v>74</v>
      </c>
      <c r="L902" t="s">
        <v>74</v>
      </c>
      <c r="M902" t="s">
        <v>77</v>
      </c>
      <c r="N902" t="s">
        <v>78</v>
      </c>
      <c r="O902" t="s">
        <v>74</v>
      </c>
      <c r="P902" t="s">
        <v>74</v>
      </c>
      <c r="Q902" t="s">
        <v>74</v>
      </c>
      <c r="R902" t="s">
        <v>74</v>
      </c>
      <c r="S902" t="s">
        <v>74</v>
      </c>
      <c r="T902" t="s">
        <v>74</v>
      </c>
      <c r="U902" t="s">
        <v>13495</v>
      </c>
      <c r="V902" t="s">
        <v>13496</v>
      </c>
      <c r="W902" t="s">
        <v>13497</v>
      </c>
      <c r="X902" t="s">
        <v>13498</v>
      </c>
      <c r="Y902" t="s">
        <v>13499</v>
      </c>
      <c r="Z902" t="s">
        <v>13500</v>
      </c>
      <c r="AA902" t="s">
        <v>13501</v>
      </c>
      <c r="AB902" t="s">
        <v>13502</v>
      </c>
      <c r="AC902" t="s">
        <v>74</v>
      </c>
      <c r="AD902" t="s">
        <v>74</v>
      </c>
      <c r="AE902" t="s">
        <v>74</v>
      </c>
      <c r="AF902" t="s">
        <v>74</v>
      </c>
      <c r="AG902">
        <v>48</v>
      </c>
      <c r="AH902">
        <v>58</v>
      </c>
      <c r="AI902">
        <v>64</v>
      </c>
      <c r="AJ902">
        <v>0</v>
      </c>
      <c r="AK902">
        <v>4</v>
      </c>
      <c r="AL902" t="s">
        <v>4487</v>
      </c>
      <c r="AM902" t="s">
        <v>2541</v>
      </c>
      <c r="AN902" t="s">
        <v>4488</v>
      </c>
      <c r="AO902" t="s">
        <v>7728</v>
      </c>
      <c r="AP902" t="s">
        <v>7729</v>
      </c>
      <c r="AQ902" t="s">
        <v>74</v>
      </c>
      <c r="AR902" t="s">
        <v>7730</v>
      </c>
      <c r="AS902" t="s">
        <v>7731</v>
      </c>
      <c r="AT902" t="s">
        <v>13503</v>
      </c>
      <c r="AU902">
        <v>2005</v>
      </c>
      <c r="AV902">
        <v>110</v>
      </c>
      <c r="AW902" t="s">
        <v>13504</v>
      </c>
      <c r="AX902" t="s">
        <v>74</v>
      </c>
      <c r="AY902" t="s">
        <v>74</v>
      </c>
      <c r="AZ902" t="s">
        <v>74</v>
      </c>
      <c r="BA902" t="s">
        <v>74</v>
      </c>
      <c r="BB902" t="s">
        <v>74</v>
      </c>
      <c r="BC902" t="s">
        <v>74</v>
      </c>
      <c r="BD902" t="s">
        <v>13505</v>
      </c>
      <c r="BE902" t="s">
        <v>13506</v>
      </c>
      <c r="BF902" t="str">
        <f>HYPERLINK("http://dx.doi.org/10.1029/2005JA011041","http://dx.doi.org/10.1029/2005JA011041")</f>
        <v>http://dx.doi.org/10.1029/2005JA011041</v>
      </c>
      <c r="BG902" t="s">
        <v>74</v>
      </c>
      <c r="BH902" t="s">
        <v>74</v>
      </c>
      <c r="BI902">
        <v>13</v>
      </c>
      <c r="BJ902" t="s">
        <v>4376</v>
      </c>
      <c r="BK902" t="s">
        <v>98</v>
      </c>
      <c r="BL902" t="s">
        <v>4376</v>
      </c>
      <c r="BM902" t="s">
        <v>13507</v>
      </c>
      <c r="BN902" t="s">
        <v>74</v>
      </c>
      <c r="BO902" t="s">
        <v>74</v>
      </c>
      <c r="BP902" t="s">
        <v>74</v>
      </c>
      <c r="BQ902" t="s">
        <v>74</v>
      </c>
      <c r="BR902" t="s">
        <v>101</v>
      </c>
      <c r="BS902" t="s">
        <v>13508</v>
      </c>
      <c r="BT902" t="str">
        <f>HYPERLINK("https%3A%2F%2Fwww.webofscience.com%2Fwos%2Fwoscc%2Ffull-record%2FWOS:000230944700003","View Full Record in Web of Science")</f>
        <v>View Full Record in Web of Science</v>
      </c>
    </row>
    <row r="903" spans="1:72" x14ac:dyDescent="0.15">
      <c r="A903" t="s">
        <v>72</v>
      </c>
      <c r="B903" t="s">
        <v>13509</v>
      </c>
      <c r="C903" t="s">
        <v>74</v>
      </c>
      <c r="D903" t="s">
        <v>74</v>
      </c>
      <c r="E903" t="s">
        <v>74</v>
      </c>
      <c r="F903" t="s">
        <v>13509</v>
      </c>
      <c r="G903" t="s">
        <v>74</v>
      </c>
      <c r="H903" t="s">
        <v>74</v>
      </c>
      <c r="I903" t="s">
        <v>13510</v>
      </c>
      <c r="J903" t="s">
        <v>5063</v>
      </c>
      <c r="K903" t="s">
        <v>74</v>
      </c>
      <c r="L903" t="s">
        <v>74</v>
      </c>
      <c r="M903" t="s">
        <v>77</v>
      </c>
      <c r="N903" t="s">
        <v>78</v>
      </c>
      <c r="O903" t="s">
        <v>74</v>
      </c>
      <c r="P903" t="s">
        <v>74</v>
      </c>
      <c r="Q903" t="s">
        <v>74</v>
      </c>
      <c r="R903" t="s">
        <v>74</v>
      </c>
      <c r="S903" t="s">
        <v>74</v>
      </c>
      <c r="T903" t="s">
        <v>74</v>
      </c>
      <c r="U903" t="s">
        <v>13511</v>
      </c>
      <c r="V903" t="s">
        <v>13512</v>
      </c>
      <c r="W903" t="s">
        <v>13513</v>
      </c>
      <c r="X903" t="s">
        <v>13514</v>
      </c>
      <c r="Y903" t="s">
        <v>13515</v>
      </c>
      <c r="Z903" t="s">
        <v>13516</v>
      </c>
      <c r="AA903" t="s">
        <v>13517</v>
      </c>
      <c r="AB903" t="s">
        <v>74</v>
      </c>
      <c r="AC903" t="s">
        <v>74</v>
      </c>
      <c r="AD903" t="s">
        <v>74</v>
      </c>
      <c r="AE903" t="s">
        <v>74</v>
      </c>
      <c r="AF903" t="s">
        <v>74</v>
      </c>
      <c r="AG903">
        <v>57</v>
      </c>
      <c r="AH903">
        <v>61</v>
      </c>
      <c r="AI903">
        <v>73</v>
      </c>
      <c r="AJ903">
        <v>0</v>
      </c>
      <c r="AK903">
        <v>25</v>
      </c>
      <c r="AL903" t="s">
        <v>4487</v>
      </c>
      <c r="AM903" t="s">
        <v>2541</v>
      </c>
      <c r="AN903" t="s">
        <v>4488</v>
      </c>
      <c r="AO903" t="s">
        <v>5072</v>
      </c>
      <c r="AP903" t="s">
        <v>5073</v>
      </c>
      <c r="AQ903" t="s">
        <v>74</v>
      </c>
      <c r="AR903" t="s">
        <v>5074</v>
      </c>
      <c r="AS903" t="s">
        <v>5075</v>
      </c>
      <c r="AT903" t="s">
        <v>13518</v>
      </c>
      <c r="AU903">
        <v>2005</v>
      </c>
      <c r="AV903">
        <v>110</v>
      </c>
      <c r="AW903" t="s">
        <v>13519</v>
      </c>
      <c r="AX903" t="s">
        <v>74</v>
      </c>
      <c r="AY903" t="s">
        <v>74</v>
      </c>
      <c r="AZ903" t="s">
        <v>74</v>
      </c>
      <c r="BA903" t="s">
        <v>74</v>
      </c>
      <c r="BB903" t="s">
        <v>74</v>
      </c>
      <c r="BC903" t="s">
        <v>74</v>
      </c>
      <c r="BD903" t="s">
        <v>13520</v>
      </c>
      <c r="BE903" t="s">
        <v>13521</v>
      </c>
      <c r="BF903" t="str">
        <f>HYPERLINK("http://dx.doi.org/10.1029/2004JD005639","http://dx.doi.org/10.1029/2004JD005639")</f>
        <v>http://dx.doi.org/10.1029/2004JD005639</v>
      </c>
      <c r="BG903" t="s">
        <v>74</v>
      </c>
      <c r="BH903" t="s">
        <v>74</v>
      </c>
      <c r="BI903">
        <v>14</v>
      </c>
      <c r="BJ903" t="s">
        <v>2033</v>
      </c>
      <c r="BK903" t="s">
        <v>98</v>
      </c>
      <c r="BL903" t="s">
        <v>2033</v>
      </c>
      <c r="BM903" t="s">
        <v>13522</v>
      </c>
      <c r="BN903" t="s">
        <v>74</v>
      </c>
      <c r="BO903" t="s">
        <v>13523</v>
      </c>
      <c r="BP903" t="s">
        <v>74</v>
      </c>
      <c r="BQ903" t="s">
        <v>74</v>
      </c>
      <c r="BR903" t="s">
        <v>101</v>
      </c>
      <c r="BS903" t="s">
        <v>13524</v>
      </c>
      <c r="BT903" t="str">
        <f>HYPERLINK("https%3A%2F%2Fwww.webofscience.com%2Fwos%2Fwoscc%2Ffull-record%2FWOS:000230941200003","View Full Record in Web of Science")</f>
        <v>View Full Record in Web of Science</v>
      </c>
    </row>
    <row r="904" spans="1:72" x14ac:dyDescent="0.15">
      <c r="A904" t="s">
        <v>72</v>
      </c>
      <c r="B904" t="s">
        <v>13525</v>
      </c>
      <c r="C904" t="s">
        <v>74</v>
      </c>
      <c r="D904" t="s">
        <v>74</v>
      </c>
      <c r="E904" t="s">
        <v>74</v>
      </c>
      <c r="F904" t="s">
        <v>13525</v>
      </c>
      <c r="G904" t="s">
        <v>74</v>
      </c>
      <c r="H904" t="s">
        <v>74</v>
      </c>
      <c r="I904" t="s">
        <v>13526</v>
      </c>
      <c r="J904" t="s">
        <v>7805</v>
      </c>
      <c r="K904" t="s">
        <v>74</v>
      </c>
      <c r="L904" t="s">
        <v>74</v>
      </c>
      <c r="M904" t="s">
        <v>77</v>
      </c>
      <c r="N904" t="s">
        <v>289</v>
      </c>
      <c r="O904" t="s">
        <v>74</v>
      </c>
      <c r="P904" t="s">
        <v>74</v>
      </c>
      <c r="Q904" t="s">
        <v>74</v>
      </c>
      <c r="R904" t="s">
        <v>74</v>
      </c>
      <c r="S904" t="s">
        <v>74</v>
      </c>
      <c r="T904" t="s">
        <v>13527</v>
      </c>
      <c r="U904" t="s">
        <v>13528</v>
      </c>
      <c r="V904" t="s">
        <v>13529</v>
      </c>
      <c r="W904" t="s">
        <v>13530</v>
      </c>
      <c r="X904" t="s">
        <v>13531</v>
      </c>
      <c r="Y904" t="s">
        <v>13532</v>
      </c>
      <c r="Z904" t="s">
        <v>13533</v>
      </c>
      <c r="AA904" t="s">
        <v>13534</v>
      </c>
      <c r="AB904" t="s">
        <v>13535</v>
      </c>
      <c r="AC904" t="s">
        <v>74</v>
      </c>
      <c r="AD904" t="s">
        <v>74</v>
      </c>
      <c r="AE904" t="s">
        <v>74</v>
      </c>
      <c r="AF904" t="s">
        <v>74</v>
      </c>
      <c r="AG904">
        <v>118</v>
      </c>
      <c r="AH904">
        <v>161</v>
      </c>
      <c r="AI904">
        <v>180</v>
      </c>
      <c r="AJ904">
        <v>1</v>
      </c>
      <c r="AK904">
        <v>28</v>
      </c>
      <c r="AL904" t="s">
        <v>3283</v>
      </c>
      <c r="AM904" t="s">
        <v>1148</v>
      </c>
      <c r="AN904" t="s">
        <v>3284</v>
      </c>
      <c r="AO904" t="s">
        <v>7816</v>
      </c>
      <c r="AP904" t="s">
        <v>7817</v>
      </c>
      <c r="AQ904" t="s">
        <v>74</v>
      </c>
      <c r="AR904" t="s">
        <v>7818</v>
      </c>
      <c r="AS904" t="s">
        <v>7819</v>
      </c>
      <c r="AT904" t="s">
        <v>13536</v>
      </c>
      <c r="AU904">
        <v>2005</v>
      </c>
      <c r="AV904">
        <v>223</v>
      </c>
      <c r="AW904" t="s">
        <v>485</v>
      </c>
      <c r="AX904" t="s">
        <v>74</v>
      </c>
      <c r="AY904" t="s">
        <v>74</v>
      </c>
      <c r="AZ904" t="s">
        <v>74</v>
      </c>
      <c r="BA904" t="s">
        <v>74</v>
      </c>
      <c r="BB904">
        <v>66</v>
      </c>
      <c r="BC904">
        <v>92</v>
      </c>
      <c r="BD904" t="s">
        <v>74</v>
      </c>
      <c r="BE904" t="s">
        <v>13537</v>
      </c>
      <c r="BF904" t="str">
        <f>HYPERLINK("http://dx.doi.org/10.1016/j.palaeo.2005.03.028","http://dx.doi.org/10.1016/j.palaeo.2005.03.028")</f>
        <v>http://dx.doi.org/10.1016/j.palaeo.2005.03.028</v>
      </c>
      <c r="BG904" t="s">
        <v>74</v>
      </c>
      <c r="BH904" t="s">
        <v>74</v>
      </c>
      <c r="BI904">
        <v>27</v>
      </c>
      <c r="BJ904" t="s">
        <v>7821</v>
      </c>
      <c r="BK904" t="s">
        <v>98</v>
      </c>
      <c r="BL904" t="s">
        <v>7822</v>
      </c>
      <c r="BM904" t="s">
        <v>13538</v>
      </c>
      <c r="BN904" t="s">
        <v>74</v>
      </c>
      <c r="BO904" t="s">
        <v>74</v>
      </c>
      <c r="BP904" t="s">
        <v>74</v>
      </c>
      <c r="BQ904" t="s">
        <v>74</v>
      </c>
      <c r="BR904" t="s">
        <v>101</v>
      </c>
      <c r="BS904" t="s">
        <v>13539</v>
      </c>
      <c r="BT904" t="str">
        <f>HYPERLINK("https%3A%2F%2Fwww.webofscience.com%2Fwos%2Fwoscc%2Ffull-record%2FWOS:000230806700006","View Full Record in Web of Science")</f>
        <v>View Full Record in Web of Science</v>
      </c>
    </row>
    <row r="905" spans="1:72" x14ac:dyDescent="0.15">
      <c r="A905" t="s">
        <v>72</v>
      </c>
      <c r="B905" t="s">
        <v>13540</v>
      </c>
      <c r="C905" t="s">
        <v>74</v>
      </c>
      <c r="D905" t="s">
        <v>74</v>
      </c>
      <c r="E905" t="s">
        <v>74</v>
      </c>
      <c r="F905" t="s">
        <v>13540</v>
      </c>
      <c r="G905" t="s">
        <v>74</v>
      </c>
      <c r="H905" t="s">
        <v>74</v>
      </c>
      <c r="I905" t="s">
        <v>13541</v>
      </c>
      <c r="J905" t="s">
        <v>7457</v>
      </c>
      <c r="K905" t="s">
        <v>74</v>
      </c>
      <c r="L905" t="s">
        <v>74</v>
      </c>
      <c r="M905" t="s">
        <v>77</v>
      </c>
      <c r="N905" t="s">
        <v>78</v>
      </c>
      <c r="O905" t="s">
        <v>74</v>
      </c>
      <c r="P905" t="s">
        <v>74</v>
      </c>
      <c r="Q905" t="s">
        <v>74</v>
      </c>
      <c r="R905" t="s">
        <v>74</v>
      </c>
      <c r="S905" t="s">
        <v>74</v>
      </c>
      <c r="T905" t="s">
        <v>13542</v>
      </c>
      <c r="U905" t="s">
        <v>74</v>
      </c>
      <c r="V905" t="s">
        <v>13543</v>
      </c>
      <c r="W905" t="s">
        <v>13544</v>
      </c>
      <c r="X905" t="s">
        <v>13545</v>
      </c>
      <c r="Y905" t="s">
        <v>13546</v>
      </c>
      <c r="Z905" t="s">
        <v>13547</v>
      </c>
      <c r="AA905" t="s">
        <v>13548</v>
      </c>
      <c r="AB905" t="s">
        <v>13549</v>
      </c>
      <c r="AC905" t="s">
        <v>74</v>
      </c>
      <c r="AD905" t="s">
        <v>74</v>
      </c>
      <c r="AE905" t="s">
        <v>74</v>
      </c>
      <c r="AF905" t="s">
        <v>74</v>
      </c>
      <c r="AG905">
        <v>22</v>
      </c>
      <c r="AH905">
        <v>27</v>
      </c>
      <c r="AI905">
        <v>27</v>
      </c>
      <c r="AJ905">
        <v>0</v>
      </c>
      <c r="AK905">
        <v>5</v>
      </c>
      <c r="AL905" t="s">
        <v>7466</v>
      </c>
      <c r="AM905" t="s">
        <v>7467</v>
      </c>
      <c r="AN905" t="s">
        <v>7468</v>
      </c>
      <c r="AO905" t="s">
        <v>7469</v>
      </c>
      <c r="AP905" t="s">
        <v>7470</v>
      </c>
      <c r="AQ905" t="s">
        <v>74</v>
      </c>
      <c r="AR905" t="s">
        <v>7457</v>
      </c>
      <c r="AS905" t="s">
        <v>7471</v>
      </c>
      <c r="AT905" t="s">
        <v>13536</v>
      </c>
      <c r="AU905">
        <v>2005</v>
      </c>
      <c r="AV905" t="s">
        <v>74</v>
      </c>
      <c r="AW905">
        <v>1022</v>
      </c>
      <c r="AX905" t="s">
        <v>74</v>
      </c>
      <c r="AY905" t="s">
        <v>74</v>
      </c>
      <c r="AZ905" t="s">
        <v>74</v>
      </c>
      <c r="BA905" t="s">
        <v>74</v>
      </c>
      <c r="BB905">
        <v>57</v>
      </c>
      <c r="BC905">
        <v>64</v>
      </c>
      <c r="BD905" t="s">
        <v>74</v>
      </c>
      <c r="BE905" t="s">
        <v>74</v>
      </c>
      <c r="BF905" t="s">
        <v>74</v>
      </c>
      <c r="BG905" t="s">
        <v>74</v>
      </c>
      <c r="BH905" t="s">
        <v>74</v>
      </c>
      <c r="BI905">
        <v>8</v>
      </c>
      <c r="BJ905" t="s">
        <v>532</v>
      </c>
      <c r="BK905" t="s">
        <v>98</v>
      </c>
      <c r="BL905" t="s">
        <v>532</v>
      </c>
      <c r="BM905" t="s">
        <v>13550</v>
      </c>
      <c r="BN905" t="s">
        <v>74</v>
      </c>
      <c r="BO905" t="s">
        <v>74</v>
      </c>
      <c r="BP905" t="s">
        <v>74</v>
      </c>
      <c r="BQ905" t="s">
        <v>74</v>
      </c>
      <c r="BR905" t="s">
        <v>101</v>
      </c>
      <c r="BS905" t="s">
        <v>13551</v>
      </c>
      <c r="BT905" t="str">
        <f>HYPERLINK("https%3A%2F%2Fwww.webofscience.com%2Fwos%2Fwoscc%2Ffull-record%2FWOS:000230758800003","View Full Record in Web of Science")</f>
        <v>View Full Record in Web of Science</v>
      </c>
    </row>
    <row r="906" spans="1:72" x14ac:dyDescent="0.15">
      <c r="A906" t="s">
        <v>72</v>
      </c>
      <c r="B906" t="s">
        <v>13552</v>
      </c>
      <c r="C906" t="s">
        <v>74</v>
      </c>
      <c r="D906" t="s">
        <v>74</v>
      </c>
      <c r="E906" t="s">
        <v>74</v>
      </c>
      <c r="F906" t="s">
        <v>13552</v>
      </c>
      <c r="G906" t="s">
        <v>74</v>
      </c>
      <c r="H906" t="s">
        <v>74</v>
      </c>
      <c r="I906" t="s">
        <v>13553</v>
      </c>
      <c r="J906" t="s">
        <v>5134</v>
      </c>
      <c r="K906" t="s">
        <v>74</v>
      </c>
      <c r="L906" t="s">
        <v>74</v>
      </c>
      <c r="M906" t="s">
        <v>77</v>
      </c>
      <c r="N906" t="s">
        <v>78</v>
      </c>
      <c r="O906" t="s">
        <v>74</v>
      </c>
      <c r="P906" t="s">
        <v>74</v>
      </c>
      <c r="Q906" t="s">
        <v>74</v>
      </c>
      <c r="R906" t="s">
        <v>74</v>
      </c>
      <c r="S906" t="s">
        <v>74</v>
      </c>
      <c r="T906" t="s">
        <v>74</v>
      </c>
      <c r="U906" t="s">
        <v>13554</v>
      </c>
      <c r="V906" t="s">
        <v>13555</v>
      </c>
      <c r="W906" t="s">
        <v>13556</v>
      </c>
      <c r="X906" t="s">
        <v>13557</v>
      </c>
      <c r="Y906" t="s">
        <v>10871</v>
      </c>
      <c r="Z906" t="s">
        <v>74</v>
      </c>
      <c r="AA906" t="s">
        <v>11398</v>
      </c>
      <c r="AB906" t="s">
        <v>11385</v>
      </c>
      <c r="AC906" t="s">
        <v>74</v>
      </c>
      <c r="AD906" t="s">
        <v>74</v>
      </c>
      <c r="AE906" t="s">
        <v>74</v>
      </c>
      <c r="AF906" t="s">
        <v>74</v>
      </c>
      <c r="AG906">
        <v>13</v>
      </c>
      <c r="AH906">
        <v>70</v>
      </c>
      <c r="AI906">
        <v>76</v>
      </c>
      <c r="AJ906">
        <v>1</v>
      </c>
      <c r="AK906">
        <v>5</v>
      </c>
      <c r="AL906" t="s">
        <v>4487</v>
      </c>
      <c r="AM906" t="s">
        <v>2541</v>
      </c>
      <c r="AN906" t="s">
        <v>4488</v>
      </c>
      <c r="AO906" t="s">
        <v>5142</v>
      </c>
      <c r="AP906" t="s">
        <v>5143</v>
      </c>
      <c r="AQ906" t="s">
        <v>74</v>
      </c>
      <c r="AR906" t="s">
        <v>5144</v>
      </c>
      <c r="AS906" t="s">
        <v>5145</v>
      </c>
      <c r="AT906" t="s">
        <v>13558</v>
      </c>
      <c r="AU906">
        <v>2005</v>
      </c>
      <c r="AV906">
        <v>32</v>
      </c>
      <c r="AW906">
        <v>14</v>
      </c>
      <c r="AX906" t="s">
        <v>74</v>
      </c>
      <c r="AY906" t="s">
        <v>74</v>
      </c>
      <c r="AZ906" t="s">
        <v>74</v>
      </c>
      <c r="BA906" t="s">
        <v>74</v>
      </c>
      <c r="BB906" t="s">
        <v>74</v>
      </c>
      <c r="BC906" t="s">
        <v>74</v>
      </c>
      <c r="BD906" t="s">
        <v>13559</v>
      </c>
      <c r="BE906" t="s">
        <v>13560</v>
      </c>
      <c r="BF906" t="str">
        <f>HYPERLINK("http://dx.doi.org/10.1029/2005GL023022","http://dx.doi.org/10.1029/2005GL023022")</f>
        <v>http://dx.doi.org/10.1029/2005GL023022</v>
      </c>
      <c r="BG906" t="s">
        <v>74</v>
      </c>
      <c r="BH906" t="s">
        <v>74</v>
      </c>
      <c r="BI906">
        <v>5</v>
      </c>
      <c r="BJ906" t="s">
        <v>1129</v>
      </c>
      <c r="BK906" t="s">
        <v>98</v>
      </c>
      <c r="BL906" t="s">
        <v>1130</v>
      </c>
      <c r="BM906" t="s">
        <v>13561</v>
      </c>
      <c r="BN906" t="s">
        <v>74</v>
      </c>
      <c r="BO906" t="s">
        <v>2728</v>
      </c>
      <c r="BP906" t="s">
        <v>74</v>
      </c>
      <c r="BQ906" t="s">
        <v>74</v>
      </c>
      <c r="BR906" t="s">
        <v>101</v>
      </c>
      <c r="BS906" t="s">
        <v>13562</v>
      </c>
      <c r="BT906" t="str">
        <f>HYPERLINK("https%3A%2F%2Fwww.webofscience.com%2Fwos%2Fwoscc%2Ffull-record%2FWOS:000230916900004","View Full Record in Web of Science")</f>
        <v>View Full Record in Web of Science</v>
      </c>
    </row>
    <row r="907" spans="1:72" x14ac:dyDescent="0.15">
      <c r="A907" t="s">
        <v>72</v>
      </c>
      <c r="B907" t="s">
        <v>13563</v>
      </c>
      <c r="C907" t="s">
        <v>74</v>
      </c>
      <c r="D907" t="s">
        <v>74</v>
      </c>
      <c r="E907" t="s">
        <v>74</v>
      </c>
      <c r="F907" t="s">
        <v>13563</v>
      </c>
      <c r="G907" t="s">
        <v>74</v>
      </c>
      <c r="H907" t="s">
        <v>74</v>
      </c>
      <c r="I907" t="s">
        <v>13564</v>
      </c>
      <c r="J907" t="s">
        <v>5134</v>
      </c>
      <c r="K907" t="s">
        <v>74</v>
      </c>
      <c r="L907" t="s">
        <v>74</v>
      </c>
      <c r="M907" t="s">
        <v>77</v>
      </c>
      <c r="N907" t="s">
        <v>78</v>
      </c>
      <c r="O907" t="s">
        <v>74</v>
      </c>
      <c r="P907" t="s">
        <v>74</v>
      </c>
      <c r="Q907" t="s">
        <v>74</v>
      </c>
      <c r="R907" t="s">
        <v>74</v>
      </c>
      <c r="S907" t="s">
        <v>74</v>
      </c>
      <c r="T907" t="s">
        <v>74</v>
      </c>
      <c r="U907" t="s">
        <v>13565</v>
      </c>
      <c r="V907" t="s">
        <v>13566</v>
      </c>
      <c r="W907" t="s">
        <v>13567</v>
      </c>
      <c r="X907" t="s">
        <v>13568</v>
      </c>
      <c r="Y907" t="s">
        <v>13569</v>
      </c>
      <c r="Z907" t="s">
        <v>13570</v>
      </c>
      <c r="AA907" t="s">
        <v>74</v>
      </c>
      <c r="AB907" t="s">
        <v>74</v>
      </c>
      <c r="AC907" t="s">
        <v>74</v>
      </c>
      <c r="AD907" t="s">
        <v>74</v>
      </c>
      <c r="AE907" t="s">
        <v>74</v>
      </c>
      <c r="AF907" t="s">
        <v>74</v>
      </c>
      <c r="AG907">
        <v>16</v>
      </c>
      <c r="AH907">
        <v>8</v>
      </c>
      <c r="AI907">
        <v>8</v>
      </c>
      <c r="AJ907">
        <v>0</v>
      </c>
      <c r="AK907">
        <v>1</v>
      </c>
      <c r="AL907" t="s">
        <v>4487</v>
      </c>
      <c r="AM907" t="s">
        <v>2541</v>
      </c>
      <c r="AN907" t="s">
        <v>4488</v>
      </c>
      <c r="AO907" t="s">
        <v>5142</v>
      </c>
      <c r="AP907" t="s">
        <v>5143</v>
      </c>
      <c r="AQ907" t="s">
        <v>74</v>
      </c>
      <c r="AR907" t="s">
        <v>5144</v>
      </c>
      <c r="AS907" t="s">
        <v>5145</v>
      </c>
      <c r="AT907" t="s">
        <v>13558</v>
      </c>
      <c r="AU907">
        <v>2005</v>
      </c>
      <c r="AV907">
        <v>32</v>
      </c>
      <c r="AW907">
        <v>14</v>
      </c>
      <c r="AX907" t="s">
        <v>74</v>
      </c>
      <c r="AY907" t="s">
        <v>74</v>
      </c>
      <c r="AZ907" t="s">
        <v>74</v>
      </c>
      <c r="BA907" t="s">
        <v>74</v>
      </c>
      <c r="BB907" t="s">
        <v>74</v>
      </c>
      <c r="BC907" t="s">
        <v>74</v>
      </c>
      <c r="BD907" t="s">
        <v>13571</v>
      </c>
      <c r="BE907" t="s">
        <v>13572</v>
      </c>
      <c r="BF907" t="str">
        <f>HYPERLINK("http://dx.doi.org/10.1029/2005GL023361","http://dx.doi.org/10.1029/2005GL023361")</f>
        <v>http://dx.doi.org/10.1029/2005GL023361</v>
      </c>
      <c r="BG907" t="s">
        <v>74</v>
      </c>
      <c r="BH907" t="s">
        <v>74</v>
      </c>
      <c r="BI907">
        <v>4</v>
      </c>
      <c r="BJ907" t="s">
        <v>1129</v>
      </c>
      <c r="BK907" t="s">
        <v>98</v>
      </c>
      <c r="BL907" t="s">
        <v>1130</v>
      </c>
      <c r="BM907" t="s">
        <v>13561</v>
      </c>
      <c r="BN907" t="s">
        <v>74</v>
      </c>
      <c r="BO907" t="s">
        <v>722</v>
      </c>
      <c r="BP907" t="s">
        <v>74</v>
      </c>
      <c r="BQ907" t="s">
        <v>74</v>
      </c>
      <c r="BR907" t="s">
        <v>101</v>
      </c>
      <c r="BS907" t="s">
        <v>13573</v>
      </c>
      <c r="BT907" t="str">
        <f>HYPERLINK("https%3A%2F%2Fwww.webofscience.com%2Fwos%2Fwoscc%2Ffull-record%2FWOS:000230916900009","View Full Record in Web of Science")</f>
        <v>View Full Record in Web of Science</v>
      </c>
    </row>
    <row r="908" spans="1:72" x14ac:dyDescent="0.15">
      <c r="A908" t="s">
        <v>72</v>
      </c>
      <c r="B908" t="s">
        <v>13574</v>
      </c>
      <c r="C908" t="s">
        <v>74</v>
      </c>
      <c r="D908" t="s">
        <v>74</v>
      </c>
      <c r="E908" t="s">
        <v>74</v>
      </c>
      <c r="F908" t="s">
        <v>13574</v>
      </c>
      <c r="G908" t="s">
        <v>74</v>
      </c>
      <c r="H908" t="s">
        <v>74</v>
      </c>
      <c r="I908" t="s">
        <v>13575</v>
      </c>
      <c r="J908" t="s">
        <v>7721</v>
      </c>
      <c r="K908" t="s">
        <v>74</v>
      </c>
      <c r="L908" t="s">
        <v>74</v>
      </c>
      <c r="M908" t="s">
        <v>77</v>
      </c>
      <c r="N908" t="s">
        <v>78</v>
      </c>
      <c r="O908" t="s">
        <v>74</v>
      </c>
      <c r="P908" t="s">
        <v>74</v>
      </c>
      <c r="Q908" t="s">
        <v>74</v>
      </c>
      <c r="R908" t="s">
        <v>74</v>
      </c>
      <c r="S908" t="s">
        <v>74</v>
      </c>
      <c r="T908" t="s">
        <v>74</v>
      </c>
      <c r="U908" t="s">
        <v>13576</v>
      </c>
      <c r="V908" t="s">
        <v>13577</v>
      </c>
      <c r="W908" t="s">
        <v>13578</v>
      </c>
      <c r="X908" t="s">
        <v>13579</v>
      </c>
      <c r="Y908" t="s">
        <v>13580</v>
      </c>
      <c r="Z908" t="s">
        <v>13581</v>
      </c>
      <c r="AA908" t="s">
        <v>13582</v>
      </c>
      <c r="AB908" t="s">
        <v>13583</v>
      </c>
      <c r="AC908" t="s">
        <v>74</v>
      </c>
      <c r="AD908" t="s">
        <v>74</v>
      </c>
      <c r="AE908" t="s">
        <v>74</v>
      </c>
      <c r="AF908" t="s">
        <v>74</v>
      </c>
      <c r="AG908">
        <v>65</v>
      </c>
      <c r="AH908">
        <v>134</v>
      </c>
      <c r="AI908">
        <v>141</v>
      </c>
      <c r="AJ908">
        <v>1</v>
      </c>
      <c r="AK908">
        <v>9</v>
      </c>
      <c r="AL908" t="s">
        <v>4487</v>
      </c>
      <c r="AM908" t="s">
        <v>2541</v>
      </c>
      <c r="AN908" t="s">
        <v>4488</v>
      </c>
      <c r="AO908" t="s">
        <v>7728</v>
      </c>
      <c r="AP908" t="s">
        <v>7729</v>
      </c>
      <c r="AQ908" t="s">
        <v>74</v>
      </c>
      <c r="AR908" t="s">
        <v>7730</v>
      </c>
      <c r="AS908" t="s">
        <v>7731</v>
      </c>
      <c r="AT908" t="s">
        <v>13558</v>
      </c>
      <c r="AU908">
        <v>2005</v>
      </c>
      <c r="AV908">
        <v>110</v>
      </c>
      <c r="AW908" t="s">
        <v>10528</v>
      </c>
      <c r="AX908" t="s">
        <v>74</v>
      </c>
      <c r="AY908" t="s">
        <v>74</v>
      </c>
      <c r="AZ908" t="s">
        <v>74</v>
      </c>
      <c r="BA908" t="s">
        <v>74</v>
      </c>
      <c r="BB908" t="s">
        <v>74</v>
      </c>
      <c r="BC908" t="s">
        <v>74</v>
      </c>
      <c r="BD908" t="s">
        <v>13584</v>
      </c>
      <c r="BE908" t="s">
        <v>13585</v>
      </c>
      <c r="BF908" t="str">
        <f>HYPERLINK("http://dx.doi.org/10.1029/2004JA010932","http://dx.doi.org/10.1029/2004JA010932")</f>
        <v>http://dx.doi.org/10.1029/2004JA010932</v>
      </c>
      <c r="BG908" t="s">
        <v>74</v>
      </c>
      <c r="BH908" t="s">
        <v>74</v>
      </c>
      <c r="BI908">
        <v>12</v>
      </c>
      <c r="BJ908" t="s">
        <v>4376</v>
      </c>
      <c r="BK908" t="s">
        <v>98</v>
      </c>
      <c r="BL908" t="s">
        <v>4376</v>
      </c>
      <c r="BM908" t="s">
        <v>13586</v>
      </c>
      <c r="BN908" t="s">
        <v>74</v>
      </c>
      <c r="BO908" t="s">
        <v>1900</v>
      </c>
      <c r="BP908" t="s">
        <v>74</v>
      </c>
      <c r="BQ908" t="s">
        <v>74</v>
      </c>
      <c r="BR908" t="s">
        <v>101</v>
      </c>
      <c r="BS908" t="s">
        <v>13587</v>
      </c>
      <c r="BT908" t="str">
        <f>HYPERLINK("https%3A%2F%2Fwww.webofscience.com%2Fwos%2Fwoscc%2Ffull-record%2FWOS:000230921400001","View Full Record in Web of Science")</f>
        <v>View Full Record in Web of Science</v>
      </c>
    </row>
    <row r="909" spans="1:72" x14ac:dyDescent="0.15">
      <c r="A909" t="s">
        <v>72</v>
      </c>
      <c r="B909" t="s">
        <v>13588</v>
      </c>
      <c r="C909" t="s">
        <v>74</v>
      </c>
      <c r="D909" t="s">
        <v>74</v>
      </c>
      <c r="E909" t="s">
        <v>74</v>
      </c>
      <c r="F909" t="s">
        <v>13588</v>
      </c>
      <c r="G909" t="s">
        <v>74</v>
      </c>
      <c r="H909" t="s">
        <v>74</v>
      </c>
      <c r="I909" t="s">
        <v>13589</v>
      </c>
      <c r="J909" t="s">
        <v>5612</v>
      </c>
      <c r="K909" t="s">
        <v>74</v>
      </c>
      <c r="L909" t="s">
        <v>74</v>
      </c>
      <c r="M909" t="s">
        <v>77</v>
      </c>
      <c r="N909" t="s">
        <v>78</v>
      </c>
      <c r="O909" t="s">
        <v>74</v>
      </c>
      <c r="P909" t="s">
        <v>74</v>
      </c>
      <c r="Q909" t="s">
        <v>74</v>
      </c>
      <c r="R909" t="s">
        <v>74</v>
      </c>
      <c r="S909" t="s">
        <v>74</v>
      </c>
      <c r="T909" t="s">
        <v>13590</v>
      </c>
      <c r="U909" t="s">
        <v>13591</v>
      </c>
      <c r="V909" t="s">
        <v>13592</v>
      </c>
      <c r="W909" t="s">
        <v>13593</v>
      </c>
      <c r="X909" t="s">
        <v>13594</v>
      </c>
      <c r="Y909" t="s">
        <v>13595</v>
      </c>
      <c r="Z909" t="s">
        <v>13596</v>
      </c>
      <c r="AA909" t="s">
        <v>13597</v>
      </c>
      <c r="AB909" t="s">
        <v>13598</v>
      </c>
      <c r="AC909" t="s">
        <v>74</v>
      </c>
      <c r="AD909" t="s">
        <v>74</v>
      </c>
      <c r="AE909" t="s">
        <v>74</v>
      </c>
      <c r="AF909" t="s">
        <v>74</v>
      </c>
      <c r="AG909">
        <v>36</v>
      </c>
      <c r="AH909">
        <v>6</v>
      </c>
      <c r="AI909">
        <v>11</v>
      </c>
      <c r="AJ909">
        <v>0</v>
      </c>
      <c r="AK909">
        <v>9</v>
      </c>
      <c r="AL909" t="s">
        <v>5621</v>
      </c>
      <c r="AM909" t="s">
        <v>1055</v>
      </c>
      <c r="AN909" t="s">
        <v>5164</v>
      </c>
      <c r="AO909" t="s">
        <v>5622</v>
      </c>
      <c r="AP909" t="s">
        <v>5623</v>
      </c>
      <c r="AQ909" t="s">
        <v>74</v>
      </c>
      <c r="AR909" t="s">
        <v>5624</v>
      </c>
      <c r="AS909" t="s">
        <v>5625</v>
      </c>
      <c r="AT909" t="s">
        <v>13558</v>
      </c>
      <c r="AU909">
        <v>2005</v>
      </c>
      <c r="AV909">
        <v>272</v>
      </c>
      <c r="AW909">
        <v>1571</v>
      </c>
      <c r="AX909" t="s">
        <v>74</v>
      </c>
      <c r="AY909" t="s">
        <v>74</v>
      </c>
      <c r="AZ909" t="s">
        <v>74</v>
      </c>
      <c r="BA909" t="s">
        <v>74</v>
      </c>
      <c r="BB909">
        <v>1449</v>
      </c>
      <c r="BC909">
        <v>1454</v>
      </c>
      <c r="BD909" t="s">
        <v>74</v>
      </c>
      <c r="BE909" t="s">
        <v>13599</v>
      </c>
      <c r="BF909" t="str">
        <f>HYPERLINK("http://dx.doi.org/10.1098/rspb.2005.3106","http://dx.doi.org/10.1098/rspb.2005.3106")</f>
        <v>http://dx.doi.org/10.1098/rspb.2005.3106</v>
      </c>
      <c r="BG909" t="s">
        <v>74</v>
      </c>
      <c r="BH909" t="s">
        <v>74</v>
      </c>
      <c r="BI909">
        <v>6</v>
      </c>
      <c r="BJ909" t="s">
        <v>5170</v>
      </c>
      <c r="BK909" t="s">
        <v>98</v>
      </c>
      <c r="BL909" t="s">
        <v>5171</v>
      </c>
      <c r="BM909" t="s">
        <v>13600</v>
      </c>
      <c r="BN909">
        <v>16011919</v>
      </c>
      <c r="BO909" t="s">
        <v>722</v>
      </c>
      <c r="BP909" t="s">
        <v>74</v>
      </c>
      <c r="BQ909" t="s">
        <v>74</v>
      </c>
      <c r="BR909" t="s">
        <v>101</v>
      </c>
      <c r="BS909" t="s">
        <v>13601</v>
      </c>
      <c r="BT909" t="str">
        <f>HYPERLINK("https%3A%2F%2Fwww.webofscience.com%2Fwos%2Fwoscc%2Ffull-record%2FWOS:000231268700005","View Full Record in Web of Science")</f>
        <v>View Full Record in Web of Science</v>
      </c>
    </row>
    <row r="910" spans="1:72" x14ac:dyDescent="0.15">
      <c r="A910" t="s">
        <v>72</v>
      </c>
      <c r="B910" t="s">
        <v>13602</v>
      </c>
      <c r="C910" t="s">
        <v>74</v>
      </c>
      <c r="D910" t="s">
        <v>74</v>
      </c>
      <c r="E910" t="s">
        <v>74</v>
      </c>
      <c r="F910" t="s">
        <v>13602</v>
      </c>
      <c r="G910" t="s">
        <v>74</v>
      </c>
      <c r="H910" t="s">
        <v>74</v>
      </c>
      <c r="I910" t="s">
        <v>13603</v>
      </c>
      <c r="J910" t="s">
        <v>5134</v>
      </c>
      <c r="K910" t="s">
        <v>74</v>
      </c>
      <c r="L910" t="s">
        <v>74</v>
      </c>
      <c r="M910" t="s">
        <v>77</v>
      </c>
      <c r="N910" t="s">
        <v>78</v>
      </c>
      <c r="O910" t="s">
        <v>74</v>
      </c>
      <c r="P910" t="s">
        <v>74</v>
      </c>
      <c r="Q910" t="s">
        <v>74</v>
      </c>
      <c r="R910" t="s">
        <v>74</v>
      </c>
      <c r="S910" t="s">
        <v>74</v>
      </c>
      <c r="T910" t="s">
        <v>74</v>
      </c>
      <c r="U910" t="s">
        <v>13604</v>
      </c>
      <c r="V910" t="s">
        <v>13605</v>
      </c>
      <c r="W910" t="s">
        <v>13606</v>
      </c>
      <c r="X910" t="s">
        <v>13607</v>
      </c>
      <c r="Y910" t="s">
        <v>13608</v>
      </c>
      <c r="Z910" t="s">
        <v>13609</v>
      </c>
      <c r="AA910" t="s">
        <v>13610</v>
      </c>
      <c r="AB910" t="s">
        <v>13611</v>
      </c>
      <c r="AC910" t="s">
        <v>74</v>
      </c>
      <c r="AD910" t="s">
        <v>74</v>
      </c>
      <c r="AE910" t="s">
        <v>74</v>
      </c>
      <c r="AF910" t="s">
        <v>74</v>
      </c>
      <c r="AG910">
        <v>17</v>
      </c>
      <c r="AH910">
        <v>5</v>
      </c>
      <c r="AI910">
        <v>5</v>
      </c>
      <c r="AJ910">
        <v>1</v>
      </c>
      <c r="AK910">
        <v>3</v>
      </c>
      <c r="AL910" t="s">
        <v>4487</v>
      </c>
      <c r="AM910" t="s">
        <v>2541</v>
      </c>
      <c r="AN910" t="s">
        <v>4488</v>
      </c>
      <c r="AO910" t="s">
        <v>5142</v>
      </c>
      <c r="AP910" t="s">
        <v>5143</v>
      </c>
      <c r="AQ910" t="s">
        <v>74</v>
      </c>
      <c r="AR910" t="s">
        <v>5144</v>
      </c>
      <c r="AS910" t="s">
        <v>5145</v>
      </c>
      <c r="AT910" t="s">
        <v>13612</v>
      </c>
      <c r="AU910">
        <v>2005</v>
      </c>
      <c r="AV910">
        <v>32</v>
      </c>
      <c r="AW910">
        <v>14</v>
      </c>
      <c r="AX910" t="s">
        <v>74</v>
      </c>
      <c r="AY910" t="s">
        <v>74</v>
      </c>
      <c r="AZ910" t="s">
        <v>74</v>
      </c>
      <c r="BA910" t="s">
        <v>74</v>
      </c>
      <c r="BB910" t="s">
        <v>74</v>
      </c>
      <c r="BC910" t="s">
        <v>74</v>
      </c>
      <c r="BD910" t="s">
        <v>13613</v>
      </c>
      <c r="BE910" t="s">
        <v>13614</v>
      </c>
      <c r="BF910" t="str">
        <f>HYPERLINK("http://dx.doi.org/10.1029/2005GL022870","http://dx.doi.org/10.1029/2005GL022870")</f>
        <v>http://dx.doi.org/10.1029/2005GL022870</v>
      </c>
      <c r="BG910" t="s">
        <v>74</v>
      </c>
      <c r="BH910" t="s">
        <v>74</v>
      </c>
      <c r="BI910">
        <v>4</v>
      </c>
      <c r="BJ910" t="s">
        <v>1129</v>
      </c>
      <c r="BK910" t="s">
        <v>98</v>
      </c>
      <c r="BL910" t="s">
        <v>1130</v>
      </c>
      <c r="BM910" t="s">
        <v>13615</v>
      </c>
      <c r="BN910" t="s">
        <v>74</v>
      </c>
      <c r="BO910" t="s">
        <v>74</v>
      </c>
      <c r="BP910" t="s">
        <v>74</v>
      </c>
      <c r="BQ910" t="s">
        <v>74</v>
      </c>
      <c r="BR910" t="s">
        <v>101</v>
      </c>
      <c r="BS910" t="s">
        <v>13616</v>
      </c>
      <c r="BT910" t="str">
        <f>HYPERLINK("https%3A%2F%2Fwww.webofscience.com%2Fwos%2Fwoscc%2Ffull-record%2FWOS:000230916700002","View Full Record in Web of Science")</f>
        <v>View Full Record in Web of Science</v>
      </c>
    </row>
    <row r="911" spans="1:72" x14ac:dyDescent="0.15">
      <c r="A911" t="s">
        <v>72</v>
      </c>
      <c r="B911" t="s">
        <v>13617</v>
      </c>
      <c r="C911" t="s">
        <v>74</v>
      </c>
      <c r="D911" t="s">
        <v>74</v>
      </c>
      <c r="E911" t="s">
        <v>74</v>
      </c>
      <c r="F911" t="s">
        <v>13617</v>
      </c>
      <c r="G911" t="s">
        <v>74</v>
      </c>
      <c r="H911" t="s">
        <v>74</v>
      </c>
      <c r="I911" t="s">
        <v>13618</v>
      </c>
      <c r="J911" t="s">
        <v>12120</v>
      </c>
      <c r="K911" t="s">
        <v>74</v>
      </c>
      <c r="L911" t="s">
        <v>74</v>
      </c>
      <c r="M911" t="s">
        <v>77</v>
      </c>
      <c r="N911" t="s">
        <v>78</v>
      </c>
      <c r="O911" t="s">
        <v>74</v>
      </c>
      <c r="P911" t="s">
        <v>74</v>
      </c>
      <c r="Q911" t="s">
        <v>74</v>
      </c>
      <c r="R911" t="s">
        <v>74</v>
      </c>
      <c r="S911" t="s">
        <v>74</v>
      </c>
      <c r="T911" t="s">
        <v>74</v>
      </c>
      <c r="U911" t="s">
        <v>13619</v>
      </c>
      <c r="V911" t="s">
        <v>13620</v>
      </c>
      <c r="W911" t="s">
        <v>13621</v>
      </c>
      <c r="X911" t="s">
        <v>12588</v>
      </c>
      <c r="Y911" t="s">
        <v>13622</v>
      </c>
      <c r="Z911" t="s">
        <v>13623</v>
      </c>
      <c r="AA911" t="s">
        <v>74</v>
      </c>
      <c r="AB911" t="s">
        <v>74</v>
      </c>
      <c r="AC911" t="s">
        <v>74</v>
      </c>
      <c r="AD911" t="s">
        <v>74</v>
      </c>
      <c r="AE911" t="s">
        <v>74</v>
      </c>
      <c r="AF911" t="s">
        <v>74</v>
      </c>
      <c r="AG911">
        <v>54</v>
      </c>
      <c r="AH911">
        <v>133</v>
      </c>
      <c r="AI911">
        <v>165</v>
      </c>
      <c r="AJ911">
        <v>6</v>
      </c>
      <c r="AK911">
        <v>104</v>
      </c>
      <c r="AL911" t="s">
        <v>5368</v>
      </c>
      <c r="AM911" t="s">
        <v>2541</v>
      </c>
      <c r="AN911" t="s">
        <v>5369</v>
      </c>
      <c r="AO911" t="s">
        <v>12129</v>
      </c>
      <c r="AP911" t="s">
        <v>74</v>
      </c>
      <c r="AQ911" t="s">
        <v>74</v>
      </c>
      <c r="AR911" t="s">
        <v>12130</v>
      </c>
      <c r="AS911" t="s">
        <v>12131</v>
      </c>
      <c r="AT911" t="s">
        <v>13612</v>
      </c>
      <c r="AU911">
        <v>2005</v>
      </c>
      <c r="AV911">
        <v>109</v>
      </c>
      <c r="AW911">
        <v>28</v>
      </c>
      <c r="AX911" t="s">
        <v>74</v>
      </c>
      <c r="AY911" t="s">
        <v>74</v>
      </c>
      <c r="AZ911" t="s">
        <v>74</v>
      </c>
      <c r="BA911" t="s">
        <v>74</v>
      </c>
      <c r="BB911">
        <v>6264</v>
      </c>
      <c r="BC911">
        <v>6271</v>
      </c>
      <c r="BD911" t="s">
        <v>74</v>
      </c>
      <c r="BE911" t="s">
        <v>13624</v>
      </c>
      <c r="BF911" t="str">
        <f>HYPERLINK("http://dx.doi.org/10.1021/jp051415f","http://dx.doi.org/10.1021/jp051415f")</f>
        <v>http://dx.doi.org/10.1021/jp051415f</v>
      </c>
      <c r="BG911" t="s">
        <v>74</v>
      </c>
      <c r="BH911" t="s">
        <v>74</v>
      </c>
      <c r="BI911">
        <v>8</v>
      </c>
      <c r="BJ911" t="s">
        <v>5187</v>
      </c>
      <c r="BK911" t="s">
        <v>98</v>
      </c>
      <c r="BL911" t="s">
        <v>5188</v>
      </c>
      <c r="BM911" t="s">
        <v>13625</v>
      </c>
      <c r="BN911">
        <v>16833967</v>
      </c>
      <c r="BO911" t="s">
        <v>74</v>
      </c>
      <c r="BP911" t="s">
        <v>74</v>
      </c>
      <c r="BQ911" t="s">
        <v>74</v>
      </c>
      <c r="BR911" t="s">
        <v>101</v>
      </c>
      <c r="BS911" t="s">
        <v>13626</v>
      </c>
      <c r="BT911" t="str">
        <f>HYPERLINK("https%3A%2F%2Fwww.webofscience.com%2Fwos%2Fwoscc%2Ffull-record%2FWOS:000230526600016","View Full Record in Web of Science")</f>
        <v>View Full Record in Web of Science</v>
      </c>
    </row>
    <row r="912" spans="1:72" x14ac:dyDescent="0.15">
      <c r="A912" t="s">
        <v>72</v>
      </c>
      <c r="B912" t="s">
        <v>13627</v>
      </c>
      <c r="C912" t="s">
        <v>74</v>
      </c>
      <c r="D912" t="s">
        <v>74</v>
      </c>
      <c r="E912" t="s">
        <v>74</v>
      </c>
      <c r="F912" t="s">
        <v>13627</v>
      </c>
      <c r="G912" t="s">
        <v>74</v>
      </c>
      <c r="H912" t="s">
        <v>74</v>
      </c>
      <c r="I912" t="s">
        <v>13628</v>
      </c>
      <c r="J912" t="s">
        <v>5134</v>
      </c>
      <c r="K912" t="s">
        <v>74</v>
      </c>
      <c r="L912" t="s">
        <v>74</v>
      </c>
      <c r="M912" t="s">
        <v>77</v>
      </c>
      <c r="N912" t="s">
        <v>78</v>
      </c>
      <c r="O912" t="s">
        <v>74</v>
      </c>
      <c r="P912" t="s">
        <v>74</v>
      </c>
      <c r="Q912" t="s">
        <v>74</v>
      </c>
      <c r="R912" t="s">
        <v>74</v>
      </c>
      <c r="S912" t="s">
        <v>74</v>
      </c>
      <c r="T912" t="s">
        <v>74</v>
      </c>
      <c r="U912" t="s">
        <v>13629</v>
      </c>
      <c r="V912" t="s">
        <v>13630</v>
      </c>
      <c r="W912" t="s">
        <v>13631</v>
      </c>
      <c r="X912" t="s">
        <v>13632</v>
      </c>
      <c r="Y912" t="s">
        <v>13633</v>
      </c>
      <c r="Z912" t="s">
        <v>13634</v>
      </c>
      <c r="AA912" t="s">
        <v>13635</v>
      </c>
      <c r="AB912" t="s">
        <v>13636</v>
      </c>
      <c r="AC912" t="s">
        <v>74</v>
      </c>
      <c r="AD912" t="s">
        <v>74</v>
      </c>
      <c r="AE912" t="s">
        <v>74</v>
      </c>
      <c r="AF912" t="s">
        <v>74</v>
      </c>
      <c r="AG912">
        <v>30</v>
      </c>
      <c r="AH912">
        <v>49</v>
      </c>
      <c r="AI912">
        <v>58</v>
      </c>
      <c r="AJ912">
        <v>0</v>
      </c>
      <c r="AK912">
        <v>12</v>
      </c>
      <c r="AL912" t="s">
        <v>4487</v>
      </c>
      <c r="AM912" t="s">
        <v>2541</v>
      </c>
      <c r="AN912" t="s">
        <v>4488</v>
      </c>
      <c r="AO912" t="s">
        <v>5142</v>
      </c>
      <c r="AP912" t="s">
        <v>5143</v>
      </c>
      <c r="AQ912" t="s">
        <v>74</v>
      </c>
      <c r="AR912" t="s">
        <v>5144</v>
      </c>
      <c r="AS912" t="s">
        <v>5145</v>
      </c>
      <c r="AT912" t="s">
        <v>13637</v>
      </c>
      <c r="AU912">
        <v>2005</v>
      </c>
      <c r="AV912">
        <v>32</v>
      </c>
      <c r="AW912">
        <v>14</v>
      </c>
      <c r="AX912" t="s">
        <v>74</v>
      </c>
      <c r="AY912" t="s">
        <v>74</v>
      </c>
      <c r="AZ912" t="s">
        <v>74</v>
      </c>
      <c r="BA912" t="s">
        <v>74</v>
      </c>
      <c r="BB912" t="s">
        <v>74</v>
      </c>
      <c r="BC912" t="s">
        <v>74</v>
      </c>
      <c r="BD912" t="s">
        <v>13638</v>
      </c>
      <c r="BE912" t="s">
        <v>13639</v>
      </c>
      <c r="BF912" t="str">
        <f>HYPERLINK("http://dx.doi.org/10.1029/2005GL022563","http://dx.doi.org/10.1029/2005GL022563")</f>
        <v>http://dx.doi.org/10.1029/2005GL022563</v>
      </c>
      <c r="BG912" t="s">
        <v>74</v>
      </c>
      <c r="BH912" t="s">
        <v>74</v>
      </c>
      <c r="BI912">
        <v>4</v>
      </c>
      <c r="BJ912" t="s">
        <v>1129</v>
      </c>
      <c r="BK912" t="s">
        <v>98</v>
      </c>
      <c r="BL912" t="s">
        <v>1130</v>
      </c>
      <c r="BM912" t="s">
        <v>13640</v>
      </c>
      <c r="BN912" t="s">
        <v>74</v>
      </c>
      <c r="BO912" t="s">
        <v>4083</v>
      </c>
      <c r="BP912" t="s">
        <v>74</v>
      </c>
      <c r="BQ912" t="s">
        <v>74</v>
      </c>
      <c r="BR912" t="s">
        <v>101</v>
      </c>
      <c r="BS912" t="s">
        <v>13641</v>
      </c>
      <c r="BT912" t="str">
        <f>HYPERLINK("https%3A%2F%2Fwww.webofscience.com%2Fwos%2Fwoscc%2Ffull-record%2FWOS:000230916600001","View Full Record in Web of Science")</f>
        <v>View Full Record in Web of Science</v>
      </c>
    </row>
    <row r="913" spans="1:72" x14ac:dyDescent="0.15">
      <c r="A913" t="s">
        <v>72</v>
      </c>
      <c r="B913" t="s">
        <v>13642</v>
      </c>
      <c r="C913" t="s">
        <v>74</v>
      </c>
      <c r="D913" t="s">
        <v>74</v>
      </c>
      <c r="E913" t="s">
        <v>74</v>
      </c>
      <c r="F913" t="s">
        <v>13642</v>
      </c>
      <c r="G913" t="s">
        <v>74</v>
      </c>
      <c r="H913" t="s">
        <v>74</v>
      </c>
      <c r="I913" t="s">
        <v>13643</v>
      </c>
      <c r="J913" t="s">
        <v>7699</v>
      </c>
      <c r="K913" t="s">
        <v>74</v>
      </c>
      <c r="L913" t="s">
        <v>74</v>
      </c>
      <c r="M913" t="s">
        <v>77</v>
      </c>
      <c r="N913" t="s">
        <v>78</v>
      </c>
      <c r="O913" t="s">
        <v>74</v>
      </c>
      <c r="P913" t="s">
        <v>74</v>
      </c>
      <c r="Q913" t="s">
        <v>74</v>
      </c>
      <c r="R913" t="s">
        <v>74</v>
      </c>
      <c r="S913" t="s">
        <v>74</v>
      </c>
      <c r="T913" t="s">
        <v>13644</v>
      </c>
      <c r="U913" t="s">
        <v>13645</v>
      </c>
      <c r="V913" t="s">
        <v>13646</v>
      </c>
      <c r="W913" t="s">
        <v>13647</v>
      </c>
      <c r="X913" t="s">
        <v>13648</v>
      </c>
      <c r="Y913" t="s">
        <v>13649</v>
      </c>
      <c r="Z913" t="s">
        <v>13650</v>
      </c>
      <c r="AA913" t="s">
        <v>74</v>
      </c>
      <c r="AB913" t="s">
        <v>13651</v>
      </c>
      <c r="AC913" t="s">
        <v>74</v>
      </c>
      <c r="AD913" t="s">
        <v>74</v>
      </c>
      <c r="AE913" t="s">
        <v>74</v>
      </c>
      <c r="AF913" t="s">
        <v>74</v>
      </c>
      <c r="AG913">
        <v>72</v>
      </c>
      <c r="AH913">
        <v>30</v>
      </c>
      <c r="AI913">
        <v>34</v>
      </c>
      <c r="AJ913">
        <v>0</v>
      </c>
      <c r="AK913">
        <v>4</v>
      </c>
      <c r="AL913" t="s">
        <v>2645</v>
      </c>
      <c r="AM913" t="s">
        <v>2646</v>
      </c>
      <c r="AN913" t="s">
        <v>2647</v>
      </c>
      <c r="AO913" t="s">
        <v>7709</v>
      </c>
      <c r="AP913" t="s">
        <v>7710</v>
      </c>
      <c r="AQ913" t="s">
        <v>74</v>
      </c>
      <c r="AR913" t="s">
        <v>7711</v>
      </c>
      <c r="AS913" t="s">
        <v>7712</v>
      </c>
      <c r="AT913" t="s">
        <v>13652</v>
      </c>
      <c r="AU913">
        <v>2005</v>
      </c>
      <c r="AV913">
        <v>40</v>
      </c>
      <c r="AW913">
        <v>1</v>
      </c>
      <c r="AX913" t="s">
        <v>74</v>
      </c>
      <c r="AY913" t="s">
        <v>74</v>
      </c>
      <c r="AZ913" t="s">
        <v>74</v>
      </c>
      <c r="BA913" t="s">
        <v>74</v>
      </c>
      <c r="BB913">
        <v>85</v>
      </c>
      <c r="BC913">
        <v>101</v>
      </c>
      <c r="BD913" t="s">
        <v>74</v>
      </c>
      <c r="BE913" t="s">
        <v>13653</v>
      </c>
      <c r="BF913" t="str">
        <f>HYPERLINK("http://dx.doi.org/10.3354/ame040085","http://dx.doi.org/10.3354/ame040085")</f>
        <v>http://dx.doi.org/10.3354/ame040085</v>
      </c>
      <c r="BG913" t="s">
        <v>74</v>
      </c>
      <c r="BH913" t="s">
        <v>74</v>
      </c>
      <c r="BI913">
        <v>17</v>
      </c>
      <c r="BJ913" t="s">
        <v>7715</v>
      </c>
      <c r="BK913" t="s">
        <v>98</v>
      </c>
      <c r="BL913" t="s">
        <v>7716</v>
      </c>
      <c r="BM913" t="s">
        <v>13654</v>
      </c>
      <c r="BN913" t="s">
        <v>74</v>
      </c>
      <c r="BO913" t="s">
        <v>1900</v>
      </c>
      <c r="BP913" t="s">
        <v>74</v>
      </c>
      <c r="BQ913" t="s">
        <v>74</v>
      </c>
      <c r="BR913" t="s">
        <v>101</v>
      </c>
      <c r="BS913" t="s">
        <v>13655</v>
      </c>
      <c r="BT913" t="str">
        <f>HYPERLINK("https%3A%2F%2Fwww.webofscience.com%2Fwos%2Fwoscc%2Ffull-record%2FWOS:000231070200009","View Full Record in Web of Science")</f>
        <v>View Full Record in Web of Science</v>
      </c>
    </row>
    <row r="914" spans="1:72" x14ac:dyDescent="0.15">
      <c r="A914" t="s">
        <v>72</v>
      </c>
      <c r="B914" t="s">
        <v>13656</v>
      </c>
      <c r="C914" t="s">
        <v>74</v>
      </c>
      <c r="D914" t="s">
        <v>74</v>
      </c>
      <c r="E914" t="s">
        <v>74</v>
      </c>
      <c r="F914" t="s">
        <v>13656</v>
      </c>
      <c r="G914" t="s">
        <v>74</v>
      </c>
      <c r="H914" t="s">
        <v>74</v>
      </c>
      <c r="I914" t="s">
        <v>13657</v>
      </c>
      <c r="J914" t="s">
        <v>5134</v>
      </c>
      <c r="K914" t="s">
        <v>74</v>
      </c>
      <c r="L914" t="s">
        <v>74</v>
      </c>
      <c r="M914" t="s">
        <v>77</v>
      </c>
      <c r="N914" t="s">
        <v>78</v>
      </c>
      <c r="O914" t="s">
        <v>74</v>
      </c>
      <c r="P914" t="s">
        <v>74</v>
      </c>
      <c r="Q914" t="s">
        <v>74</v>
      </c>
      <c r="R914" t="s">
        <v>74</v>
      </c>
      <c r="S914" t="s">
        <v>74</v>
      </c>
      <c r="T914" t="s">
        <v>74</v>
      </c>
      <c r="U914" t="s">
        <v>13658</v>
      </c>
      <c r="V914" t="s">
        <v>13659</v>
      </c>
      <c r="W914" t="s">
        <v>13660</v>
      </c>
      <c r="X914" t="s">
        <v>261</v>
      </c>
      <c r="Y914" t="s">
        <v>13661</v>
      </c>
      <c r="Z914" t="s">
        <v>13662</v>
      </c>
      <c r="AA914" t="s">
        <v>13663</v>
      </c>
      <c r="AB914" t="s">
        <v>13664</v>
      </c>
      <c r="AC914" t="s">
        <v>74</v>
      </c>
      <c r="AD914" t="s">
        <v>74</v>
      </c>
      <c r="AE914" t="s">
        <v>74</v>
      </c>
      <c r="AF914" t="s">
        <v>74</v>
      </c>
      <c r="AG914">
        <v>11</v>
      </c>
      <c r="AH914">
        <v>50</v>
      </c>
      <c r="AI914">
        <v>53</v>
      </c>
      <c r="AJ914">
        <v>0</v>
      </c>
      <c r="AK914">
        <v>4</v>
      </c>
      <c r="AL914" t="s">
        <v>4487</v>
      </c>
      <c r="AM914" t="s">
        <v>2541</v>
      </c>
      <c r="AN914" t="s">
        <v>4488</v>
      </c>
      <c r="AO914" t="s">
        <v>5142</v>
      </c>
      <c r="AP914" t="s">
        <v>74</v>
      </c>
      <c r="AQ914" t="s">
        <v>74</v>
      </c>
      <c r="AR914" t="s">
        <v>5144</v>
      </c>
      <c r="AS914" t="s">
        <v>5145</v>
      </c>
      <c r="AT914" t="s">
        <v>13665</v>
      </c>
      <c r="AU914">
        <v>2005</v>
      </c>
      <c r="AV914">
        <v>32</v>
      </c>
      <c r="AW914">
        <v>14</v>
      </c>
      <c r="AX914" t="s">
        <v>74</v>
      </c>
      <c r="AY914" t="s">
        <v>74</v>
      </c>
      <c r="AZ914" t="s">
        <v>74</v>
      </c>
      <c r="BA914" t="s">
        <v>74</v>
      </c>
      <c r="BB914" t="s">
        <v>74</v>
      </c>
      <c r="BC914" t="s">
        <v>74</v>
      </c>
      <c r="BD914" t="s">
        <v>13666</v>
      </c>
      <c r="BE914" t="s">
        <v>13667</v>
      </c>
      <c r="BF914" t="str">
        <f>HYPERLINK("http://dx.doi.org/10.1029/2005GL022588","http://dx.doi.org/10.1029/2005GL022588")</f>
        <v>http://dx.doi.org/10.1029/2005GL022588</v>
      </c>
      <c r="BG914" t="s">
        <v>74</v>
      </c>
      <c r="BH914" t="s">
        <v>74</v>
      </c>
      <c r="BI914">
        <v>4</v>
      </c>
      <c r="BJ914" t="s">
        <v>1129</v>
      </c>
      <c r="BK914" t="s">
        <v>98</v>
      </c>
      <c r="BL914" t="s">
        <v>1130</v>
      </c>
      <c r="BM914" t="s">
        <v>13668</v>
      </c>
      <c r="BN914" t="s">
        <v>74</v>
      </c>
      <c r="BO914" t="s">
        <v>1900</v>
      </c>
      <c r="BP914" t="s">
        <v>74</v>
      </c>
      <c r="BQ914" t="s">
        <v>74</v>
      </c>
      <c r="BR914" t="s">
        <v>101</v>
      </c>
      <c r="BS914" t="s">
        <v>13669</v>
      </c>
      <c r="BT914" t="str">
        <f>HYPERLINK("https%3A%2F%2Fwww.webofscience.com%2Fwos%2Fwoscc%2Ffull-record%2FWOS:000230833900002","View Full Record in Web of Science")</f>
        <v>View Full Record in Web of Science</v>
      </c>
    </row>
    <row r="915" spans="1:72" x14ac:dyDescent="0.15">
      <c r="A915" t="s">
        <v>72</v>
      </c>
      <c r="B915" t="s">
        <v>13670</v>
      </c>
      <c r="C915" t="s">
        <v>74</v>
      </c>
      <c r="D915" t="s">
        <v>74</v>
      </c>
      <c r="E915" t="s">
        <v>74</v>
      </c>
      <c r="F915" t="s">
        <v>13670</v>
      </c>
      <c r="G915" t="s">
        <v>74</v>
      </c>
      <c r="H915" t="s">
        <v>74</v>
      </c>
      <c r="I915" t="s">
        <v>13671</v>
      </c>
      <c r="J915" t="s">
        <v>5134</v>
      </c>
      <c r="K915" t="s">
        <v>74</v>
      </c>
      <c r="L915" t="s">
        <v>74</v>
      </c>
      <c r="M915" t="s">
        <v>77</v>
      </c>
      <c r="N915" t="s">
        <v>78</v>
      </c>
      <c r="O915" t="s">
        <v>74</v>
      </c>
      <c r="P915" t="s">
        <v>74</v>
      </c>
      <c r="Q915" t="s">
        <v>74</v>
      </c>
      <c r="R915" t="s">
        <v>74</v>
      </c>
      <c r="S915" t="s">
        <v>74</v>
      </c>
      <c r="T915" t="s">
        <v>74</v>
      </c>
      <c r="U915" t="s">
        <v>13672</v>
      </c>
      <c r="V915" t="s">
        <v>13673</v>
      </c>
      <c r="W915" t="s">
        <v>13674</v>
      </c>
      <c r="X915" t="s">
        <v>13675</v>
      </c>
      <c r="Y915" t="s">
        <v>13676</v>
      </c>
      <c r="Z915" t="s">
        <v>13677</v>
      </c>
      <c r="AA915" t="s">
        <v>74</v>
      </c>
      <c r="AB915" t="s">
        <v>74</v>
      </c>
      <c r="AC915" t="s">
        <v>74</v>
      </c>
      <c r="AD915" t="s">
        <v>74</v>
      </c>
      <c r="AE915" t="s">
        <v>74</v>
      </c>
      <c r="AF915" t="s">
        <v>74</v>
      </c>
      <c r="AG915">
        <v>16</v>
      </c>
      <c r="AH915">
        <v>13</v>
      </c>
      <c r="AI915">
        <v>13</v>
      </c>
      <c r="AJ915">
        <v>0</v>
      </c>
      <c r="AK915">
        <v>6</v>
      </c>
      <c r="AL915" t="s">
        <v>4487</v>
      </c>
      <c r="AM915" t="s">
        <v>2541</v>
      </c>
      <c r="AN915" t="s">
        <v>4488</v>
      </c>
      <c r="AO915" t="s">
        <v>5142</v>
      </c>
      <c r="AP915" t="s">
        <v>5143</v>
      </c>
      <c r="AQ915" t="s">
        <v>74</v>
      </c>
      <c r="AR915" t="s">
        <v>5144</v>
      </c>
      <c r="AS915" t="s">
        <v>5145</v>
      </c>
      <c r="AT915" t="s">
        <v>13665</v>
      </c>
      <c r="AU915">
        <v>2005</v>
      </c>
      <c r="AV915">
        <v>32</v>
      </c>
      <c r="AW915">
        <v>14</v>
      </c>
      <c r="AX915" t="s">
        <v>74</v>
      </c>
      <c r="AY915" t="s">
        <v>74</v>
      </c>
      <c r="AZ915" t="s">
        <v>74</v>
      </c>
      <c r="BA915" t="s">
        <v>74</v>
      </c>
      <c r="BB915" t="s">
        <v>74</v>
      </c>
      <c r="BC915" t="s">
        <v>74</v>
      </c>
      <c r="BD915" t="s">
        <v>13678</v>
      </c>
      <c r="BE915" t="s">
        <v>13679</v>
      </c>
      <c r="BF915" t="str">
        <f>HYPERLINK("http://dx.doi.org/10.1029/2005GL022801","http://dx.doi.org/10.1029/2005GL022801")</f>
        <v>http://dx.doi.org/10.1029/2005GL022801</v>
      </c>
      <c r="BG915" t="s">
        <v>74</v>
      </c>
      <c r="BH915" t="s">
        <v>74</v>
      </c>
      <c r="BI915">
        <v>4</v>
      </c>
      <c r="BJ915" t="s">
        <v>1129</v>
      </c>
      <c r="BK915" t="s">
        <v>98</v>
      </c>
      <c r="BL915" t="s">
        <v>1130</v>
      </c>
      <c r="BM915" t="s">
        <v>13668</v>
      </c>
      <c r="BN915" t="s">
        <v>74</v>
      </c>
      <c r="BO915" t="s">
        <v>1900</v>
      </c>
      <c r="BP915" t="s">
        <v>74</v>
      </c>
      <c r="BQ915" t="s">
        <v>74</v>
      </c>
      <c r="BR915" t="s">
        <v>101</v>
      </c>
      <c r="BS915" t="s">
        <v>13680</v>
      </c>
      <c r="BT915" t="str">
        <f>HYPERLINK("https%3A%2F%2Fwww.webofscience.com%2Fwos%2Fwoscc%2Ffull-record%2FWOS:000230833900003","View Full Record in Web of Science")</f>
        <v>View Full Record in Web of Science</v>
      </c>
    </row>
    <row r="916" spans="1:72" x14ac:dyDescent="0.15">
      <c r="A916" t="s">
        <v>72</v>
      </c>
      <c r="B916" t="s">
        <v>13681</v>
      </c>
      <c r="C916" t="s">
        <v>74</v>
      </c>
      <c r="D916" t="s">
        <v>74</v>
      </c>
      <c r="E916" t="s">
        <v>74</v>
      </c>
      <c r="F916" t="s">
        <v>13681</v>
      </c>
      <c r="G916" t="s">
        <v>74</v>
      </c>
      <c r="H916" t="s">
        <v>74</v>
      </c>
      <c r="I916" t="s">
        <v>13682</v>
      </c>
      <c r="J916" t="s">
        <v>13683</v>
      </c>
      <c r="K916" t="s">
        <v>74</v>
      </c>
      <c r="L916" t="s">
        <v>74</v>
      </c>
      <c r="M916" t="s">
        <v>77</v>
      </c>
      <c r="N916" t="s">
        <v>78</v>
      </c>
      <c r="O916" t="s">
        <v>74</v>
      </c>
      <c r="P916" t="s">
        <v>74</v>
      </c>
      <c r="Q916" t="s">
        <v>74</v>
      </c>
      <c r="R916" t="s">
        <v>74</v>
      </c>
      <c r="S916" t="s">
        <v>74</v>
      </c>
      <c r="T916" t="s">
        <v>13684</v>
      </c>
      <c r="U916" t="s">
        <v>13685</v>
      </c>
      <c r="V916" t="s">
        <v>13686</v>
      </c>
      <c r="W916" t="s">
        <v>13687</v>
      </c>
      <c r="X916" t="s">
        <v>13688</v>
      </c>
      <c r="Y916" t="s">
        <v>13689</v>
      </c>
      <c r="Z916" t="s">
        <v>13690</v>
      </c>
      <c r="AA916" t="s">
        <v>13691</v>
      </c>
      <c r="AB916" t="s">
        <v>13692</v>
      </c>
      <c r="AC916" t="s">
        <v>74</v>
      </c>
      <c r="AD916" t="s">
        <v>74</v>
      </c>
      <c r="AE916" t="s">
        <v>74</v>
      </c>
      <c r="AF916" t="s">
        <v>74</v>
      </c>
      <c r="AG916">
        <v>45</v>
      </c>
      <c r="AH916">
        <v>18</v>
      </c>
      <c r="AI916">
        <v>22</v>
      </c>
      <c r="AJ916">
        <v>0</v>
      </c>
      <c r="AK916">
        <v>24</v>
      </c>
      <c r="AL916" t="s">
        <v>13693</v>
      </c>
      <c r="AM916" t="s">
        <v>1055</v>
      </c>
      <c r="AN916" t="s">
        <v>13694</v>
      </c>
      <c r="AO916" t="s">
        <v>13695</v>
      </c>
      <c r="AP916" t="s">
        <v>13696</v>
      </c>
      <c r="AQ916" t="s">
        <v>74</v>
      </c>
      <c r="AR916" t="s">
        <v>13697</v>
      </c>
      <c r="AS916" t="s">
        <v>13698</v>
      </c>
      <c r="AT916" t="s">
        <v>13699</v>
      </c>
      <c r="AU916">
        <v>2005</v>
      </c>
      <c r="AV916">
        <v>389</v>
      </c>
      <c r="AW916" t="s">
        <v>74</v>
      </c>
      <c r="AX916">
        <v>2</v>
      </c>
      <c r="AY916" t="s">
        <v>74</v>
      </c>
      <c r="AZ916" t="s">
        <v>74</v>
      </c>
      <c r="BA916" t="s">
        <v>74</v>
      </c>
      <c r="BB916">
        <v>297</v>
      </c>
      <c r="BC916">
        <v>306</v>
      </c>
      <c r="BD916" t="s">
        <v>74</v>
      </c>
      <c r="BE916" t="s">
        <v>13700</v>
      </c>
      <c r="BF916" t="str">
        <f>HYPERLINK("http://dx.doi.org/10.1042/BJ20050305","http://dx.doi.org/10.1042/BJ20050305")</f>
        <v>http://dx.doi.org/10.1042/BJ20050305</v>
      </c>
      <c r="BG916" t="s">
        <v>74</v>
      </c>
      <c r="BH916" t="s">
        <v>74</v>
      </c>
      <c r="BI916">
        <v>10</v>
      </c>
      <c r="BJ916" t="s">
        <v>124</v>
      </c>
      <c r="BK916" t="s">
        <v>98</v>
      </c>
      <c r="BL916" t="s">
        <v>124</v>
      </c>
      <c r="BM916" t="s">
        <v>13701</v>
      </c>
      <c r="BN916">
        <v>15807670</v>
      </c>
      <c r="BO916" t="s">
        <v>722</v>
      </c>
      <c r="BP916" t="s">
        <v>74</v>
      </c>
      <c r="BQ916" t="s">
        <v>74</v>
      </c>
      <c r="BR916" t="s">
        <v>101</v>
      </c>
      <c r="BS916" t="s">
        <v>13702</v>
      </c>
      <c r="BT916" t="str">
        <f>HYPERLINK("https%3A%2F%2Fwww.webofscience.com%2Fwos%2Fwoscc%2Ffull-record%2FWOS:000230779000006","View Full Record in Web of Science")</f>
        <v>View Full Record in Web of Science</v>
      </c>
    </row>
    <row r="917" spans="1:72" x14ac:dyDescent="0.15">
      <c r="A917" t="s">
        <v>72</v>
      </c>
      <c r="B917" t="s">
        <v>13703</v>
      </c>
      <c r="C917" t="s">
        <v>74</v>
      </c>
      <c r="D917" t="s">
        <v>74</v>
      </c>
      <c r="E917" t="s">
        <v>74</v>
      </c>
      <c r="F917" t="s">
        <v>13703</v>
      </c>
      <c r="G917" t="s">
        <v>74</v>
      </c>
      <c r="H917" t="s">
        <v>74</v>
      </c>
      <c r="I917" t="s">
        <v>13704</v>
      </c>
      <c r="J917" t="s">
        <v>5339</v>
      </c>
      <c r="K917" t="s">
        <v>74</v>
      </c>
      <c r="L917" t="s">
        <v>74</v>
      </c>
      <c r="M917" t="s">
        <v>77</v>
      </c>
      <c r="N917" t="s">
        <v>78</v>
      </c>
      <c r="O917" t="s">
        <v>74</v>
      </c>
      <c r="P917" t="s">
        <v>74</v>
      </c>
      <c r="Q917" t="s">
        <v>74</v>
      </c>
      <c r="R917" t="s">
        <v>74</v>
      </c>
      <c r="S917" t="s">
        <v>74</v>
      </c>
      <c r="T917" t="s">
        <v>13705</v>
      </c>
      <c r="U917" t="s">
        <v>13706</v>
      </c>
      <c r="V917" t="s">
        <v>13707</v>
      </c>
      <c r="W917" t="s">
        <v>13708</v>
      </c>
      <c r="X917" t="s">
        <v>9610</v>
      </c>
      <c r="Y917" t="s">
        <v>13709</v>
      </c>
      <c r="Z917" t="s">
        <v>13710</v>
      </c>
      <c r="AA917" t="s">
        <v>13711</v>
      </c>
      <c r="AB917" t="s">
        <v>13712</v>
      </c>
      <c r="AC917" t="s">
        <v>74</v>
      </c>
      <c r="AD917" t="s">
        <v>74</v>
      </c>
      <c r="AE917" t="s">
        <v>74</v>
      </c>
      <c r="AF917" t="s">
        <v>74</v>
      </c>
      <c r="AG917">
        <v>66</v>
      </c>
      <c r="AH917">
        <v>113</v>
      </c>
      <c r="AI917">
        <v>127</v>
      </c>
      <c r="AJ917">
        <v>2</v>
      </c>
      <c r="AK917">
        <v>57</v>
      </c>
      <c r="AL917" t="s">
        <v>3283</v>
      </c>
      <c r="AM917" t="s">
        <v>1148</v>
      </c>
      <c r="AN917" t="s">
        <v>3284</v>
      </c>
      <c r="AO917" t="s">
        <v>5349</v>
      </c>
      <c r="AP917" t="s">
        <v>5350</v>
      </c>
      <c r="AQ917" t="s">
        <v>74</v>
      </c>
      <c r="AR917" t="s">
        <v>5351</v>
      </c>
      <c r="AS917" t="s">
        <v>5352</v>
      </c>
      <c r="AT917" t="s">
        <v>13699</v>
      </c>
      <c r="AU917">
        <v>2005</v>
      </c>
      <c r="AV917">
        <v>235</v>
      </c>
      <c r="AW917" t="s">
        <v>530</v>
      </c>
      <c r="AX917" t="s">
        <v>74</v>
      </c>
      <c r="AY917" t="s">
        <v>74</v>
      </c>
      <c r="AZ917" t="s">
        <v>74</v>
      </c>
      <c r="BA917" t="s">
        <v>74</v>
      </c>
      <c r="BB917">
        <v>715</v>
      </c>
      <c r="BC917">
        <v>728</v>
      </c>
      <c r="BD917" t="s">
        <v>74</v>
      </c>
      <c r="BE917" t="s">
        <v>13713</v>
      </c>
      <c r="BF917" t="str">
        <f>HYPERLINK("http://dx.doi.org/10.1016/j.epsl.2005.04.025","http://dx.doi.org/10.1016/j.epsl.2005.04.025")</f>
        <v>http://dx.doi.org/10.1016/j.epsl.2005.04.025</v>
      </c>
      <c r="BG917" t="s">
        <v>74</v>
      </c>
      <c r="BH917" t="s">
        <v>74</v>
      </c>
      <c r="BI917">
        <v>14</v>
      </c>
      <c r="BJ917" t="s">
        <v>1348</v>
      </c>
      <c r="BK917" t="s">
        <v>98</v>
      </c>
      <c r="BL917" t="s">
        <v>1348</v>
      </c>
      <c r="BM917" t="s">
        <v>13714</v>
      </c>
      <c r="BN917" t="s">
        <v>74</v>
      </c>
      <c r="BO917" t="s">
        <v>74</v>
      </c>
      <c r="BP917" t="s">
        <v>74</v>
      </c>
      <c r="BQ917" t="s">
        <v>74</v>
      </c>
      <c r="BR917" t="s">
        <v>101</v>
      </c>
      <c r="BS917" t="s">
        <v>13715</v>
      </c>
      <c r="BT917" t="str">
        <f>HYPERLINK("https%3A%2F%2Fwww.webofscience.com%2Fwos%2Fwoscc%2Ffull-record%2FWOS:000230609400018","View Full Record in Web of Science")</f>
        <v>View Full Record in Web of Science</v>
      </c>
    </row>
    <row r="918" spans="1:72" x14ac:dyDescent="0.15">
      <c r="A918" t="s">
        <v>72</v>
      </c>
      <c r="B918" t="s">
        <v>13716</v>
      </c>
      <c r="C918" t="s">
        <v>74</v>
      </c>
      <c r="D918" t="s">
        <v>74</v>
      </c>
      <c r="E918" t="s">
        <v>74</v>
      </c>
      <c r="F918" t="s">
        <v>13716</v>
      </c>
      <c r="G918" t="s">
        <v>74</v>
      </c>
      <c r="H918" t="s">
        <v>74</v>
      </c>
      <c r="I918" t="s">
        <v>13717</v>
      </c>
      <c r="J918" t="s">
        <v>8800</v>
      </c>
      <c r="K918" t="s">
        <v>74</v>
      </c>
      <c r="L918" t="s">
        <v>74</v>
      </c>
      <c r="M918" t="s">
        <v>77</v>
      </c>
      <c r="N918" t="s">
        <v>78</v>
      </c>
      <c r="O918" t="s">
        <v>74</v>
      </c>
      <c r="P918" t="s">
        <v>74</v>
      </c>
      <c r="Q918" t="s">
        <v>74</v>
      </c>
      <c r="R918" t="s">
        <v>74</v>
      </c>
      <c r="S918" t="s">
        <v>74</v>
      </c>
      <c r="T918" t="s">
        <v>74</v>
      </c>
      <c r="U918" t="s">
        <v>13718</v>
      </c>
      <c r="V918" t="s">
        <v>13719</v>
      </c>
      <c r="W918" t="s">
        <v>13720</v>
      </c>
      <c r="X918" t="s">
        <v>13721</v>
      </c>
      <c r="Y918" t="s">
        <v>13722</v>
      </c>
      <c r="Z918" t="s">
        <v>13723</v>
      </c>
      <c r="AA918" t="s">
        <v>13724</v>
      </c>
      <c r="AB918" t="s">
        <v>74</v>
      </c>
      <c r="AC918" t="s">
        <v>74</v>
      </c>
      <c r="AD918" t="s">
        <v>74</v>
      </c>
      <c r="AE918" t="s">
        <v>74</v>
      </c>
      <c r="AF918" t="s">
        <v>74</v>
      </c>
      <c r="AG918">
        <v>35</v>
      </c>
      <c r="AH918">
        <v>155</v>
      </c>
      <c r="AI918">
        <v>166</v>
      </c>
      <c r="AJ918">
        <v>1</v>
      </c>
      <c r="AK918">
        <v>37</v>
      </c>
      <c r="AL918" t="s">
        <v>6583</v>
      </c>
      <c r="AM918" t="s">
        <v>6584</v>
      </c>
      <c r="AN918" t="s">
        <v>6585</v>
      </c>
      <c r="AO918" t="s">
        <v>8807</v>
      </c>
      <c r="AP918" t="s">
        <v>8808</v>
      </c>
      <c r="AQ918" t="s">
        <v>74</v>
      </c>
      <c r="AR918" t="s">
        <v>8809</v>
      </c>
      <c r="AS918" t="s">
        <v>8810</v>
      </c>
      <c r="AT918" t="s">
        <v>13699</v>
      </c>
      <c r="AU918">
        <v>2005</v>
      </c>
      <c r="AV918">
        <v>18</v>
      </c>
      <c r="AW918">
        <v>14</v>
      </c>
      <c r="AX918" t="s">
        <v>74</v>
      </c>
      <c r="AY918" t="s">
        <v>74</v>
      </c>
      <c r="AZ918" t="s">
        <v>74</v>
      </c>
      <c r="BA918" t="s">
        <v>74</v>
      </c>
      <c r="BB918">
        <v>2558</v>
      </c>
      <c r="BC918">
        <v>2574</v>
      </c>
      <c r="BD918" t="s">
        <v>74</v>
      </c>
      <c r="BE918" t="s">
        <v>13725</v>
      </c>
      <c r="BF918" t="str">
        <f>HYPERLINK("http://dx.doi.org/10.1175/JCLI3438.1","http://dx.doi.org/10.1175/JCLI3438.1")</f>
        <v>http://dx.doi.org/10.1175/JCLI3438.1</v>
      </c>
      <c r="BG918" t="s">
        <v>74</v>
      </c>
      <c r="BH918" t="s">
        <v>74</v>
      </c>
      <c r="BI918">
        <v>17</v>
      </c>
      <c r="BJ918" t="s">
        <v>2033</v>
      </c>
      <c r="BK918" t="s">
        <v>98</v>
      </c>
      <c r="BL918" t="s">
        <v>2033</v>
      </c>
      <c r="BM918" t="s">
        <v>13726</v>
      </c>
      <c r="BN918" t="s">
        <v>74</v>
      </c>
      <c r="BO918" t="s">
        <v>1900</v>
      </c>
      <c r="BP918" t="s">
        <v>74</v>
      </c>
      <c r="BQ918" t="s">
        <v>74</v>
      </c>
      <c r="BR918" t="s">
        <v>101</v>
      </c>
      <c r="BS918" t="s">
        <v>13727</v>
      </c>
      <c r="BT918" t="str">
        <f>HYPERLINK("https%3A%2F%2Fwww.webofscience.com%2Fwos%2Fwoscc%2Ffull-record%2FWOS:000231251400003","View Full Record in Web of Science")</f>
        <v>View Full Record in Web of Science</v>
      </c>
    </row>
    <row r="919" spans="1:72" x14ac:dyDescent="0.15">
      <c r="A919" t="s">
        <v>72</v>
      </c>
      <c r="B919" t="s">
        <v>13728</v>
      </c>
      <c r="C919" t="s">
        <v>74</v>
      </c>
      <c r="D919" t="s">
        <v>74</v>
      </c>
      <c r="E919" t="s">
        <v>74</v>
      </c>
      <c r="F919" t="s">
        <v>13728</v>
      </c>
      <c r="G919" t="s">
        <v>74</v>
      </c>
      <c r="H919" t="s">
        <v>74</v>
      </c>
      <c r="I919" t="s">
        <v>13729</v>
      </c>
      <c r="J919" t="s">
        <v>5063</v>
      </c>
      <c r="K919" t="s">
        <v>74</v>
      </c>
      <c r="L919" t="s">
        <v>74</v>
      </c>
      <c r="M919" t="s">
        <v>77</v>
      </c>
      <c r="N919" t="s">
        <v>78</v>
      </c>
      <c r="O919" t="s">
        <v>74</v>
      </c>
      <c r="P919" t="s">
        <v>74</v>
      </c>
      <c r="Q919" t="s">
        <v>74</v>
      </c>
      <c r="R919" t="s">
        <v>74</v>
      </c>
      <c r="S919" t="s">
        <v>74</v>
      </c>
      <c r="T919" t="s">
        <v>74</v>
      </c>
      <c r="U919" t="s">
        <v>13730</v>
      </c>
      <c r="V919" t="s">
        <v>13731</v>
      </c>
      <c r="W919" t="s">
        <v>13732</v>
      </c>
      <c r="X919" t="s">
        <v>13733</v>
      </c>
      <c r="Y919" t="s">
        <v>13734</v>
      </c>
      <c r="Z919" t="s">
        <v>13735</v>
      </c>
      <c r="AA919" t="s">
        <v>13736</v>
      </c>
      <c r="AB919" t="s">
        <v>13737</v>
      </c>
      <c r="AC919" t="s">
        <v>74</v>
      </c>
      <c r="AD919" t="s">
        <v>74</v>
      </c>
      <c r="AE919" t="s">
        <v>74</v>
      </c>
      <c r="AF919" t="s">
        <v>74</v>
      </c>
      <c r="AG919">
        <v>24</v>
      </c>
      <c r="AH919">
        <v>21</v>
      </c>
      <c r="AI919">
        <v>21</v>
      </c>
      <c r="AJ919">
        <v>0</v>
      </c>
      <c r="AK919">
        <v>12</v>
      </c>
      <c r="AL919" t="s">
        <v>4487</v>
      </c>
      <c r="AM919" t="s">
        <v>2541</v>
      </c>
      <c r="AN919" t="s">
        <v>4488</v>
      </c>
      <c r="AO919" t="s">
        <v>5072</v>
      </c>
      <c r="AP919" t="s">
        <v>5073</v>
      </c>
      <c r="AQ919" t="s">
        <v>74</v>
      </c>
      <c r="AR919" t="s">
        <v>5074</v>
      </c>
      <c r="AS919" t="s">
        <v>5075</v>
      </c>
      <c r="AT919" t="s">
        <v>13699</v>
      </c>
      <c r="AU919">
        <v>2005</v>
      </c>
      <c r="AV919">
        <v>110</v>
      </c>
      <c r="AW919" t="s">
        <v>13738</v>
      </c>
      <c r="AX919" t="s">
        <v>74</v>
      </c>
      <c r="AY919" t="s">
        <v>74</v>
      </c>
      <c r="AZ919" t="s">
        <v>74</v>
      </c>
      <c r="BA919" t="s">
        <v>74</v>
      </c>
      <c r="BB919" t="s">
        <v>74</v>
      </c>
      <c r="BC919" t="s">
        <v>74</v>
      </c>
      <c r="BD919" t="s">
        <v>13739</v>
      </c>
      <c r="BE919" t="s">
        <v>13740</v>
      </c>
      <c r="BF919" t="str">
        <f>HYPERLINK("http://dx.doi.org/10.1029/2004JD005482","http://dx.doi.org/10.1029/2004JD005482")</f>
        <v>http://dx.doi.org/10.1029/2004JD005482</v>
      </c>
      <c r="BG919" t="s">
        <v>74</v>
      </c>
      <c r="BH919" t="s">
        <v>74</v>
      </c>
      <c r="BI919">
        <v>11</v>
      </c>
      <c r="BJ919" t="s">
        <v>2033</v>
      </c>
      <c r="BK919" t="s">
        <v>98</v>
      </c>
      <c r="BL919" t="s">
        <v>2033</v>
      </c>
      <c r="BM919" t="s">
        <v>13741</v>
      </c>
      <c r="BN919" t="s">
        <v>74</v>
      </c>
      <c r="BO919" t="s">
        <v>74</v>
      </c>
      <c r="BP919" t="s">
        <v>74</v>
      </c>
      <c r="BQ919" t="s">
        <v>74</v>
      </c>
      <c r="BR919" t="s">
        <v>101</v>
      </c>
      <c r="BS919" t="s">
        <v>13742</v>
      </c>
      <c r="BT919" t="str">
        <f>HYPERLINK("https%3A%2F%2Fwww.webofscience.com%2Fwos%2Fwoscc%2Ffull-record%2FWOS:000230836200003","View Full Record in Web of Science")</f>
        <v>View Full Record in Web of Science</v>
      </c>
    </row>
    <row r="920" spans="1:72" x14ac:dyDescent="0.15">
      <c r="A920" t="s">
        <v>72</v>
      </c>
      <c r="B920" t="s">
        <v>13743</v>
      </c>
      <c r="C920" t="s">
        <v>74</v>
      </c>
      <c r="D920" t="s">
        <v>74</v>
      </c>
      <c r="E920" t="s">
        <v>74</v>
      </c>
      <c r="F920" t="s">
        <v>13743</v>
      </c>
      <c r="G920" t="s">
        <v>74</v>
      </c>
      <c r="H920" t="s">
        <v>74</v>
      </c>
      <c r="I920" t="s">
        <v>13744</v>
      </c>
      <c r="J920" t="s">
        <v>6088</v>
      </c>
      <c r="K920" t="s">
        <v>74</v>
      </c>
      <c r="L920" t="s">
        <v>74</v>
      </c>
      <c r="M920" t="s">
        <v>77</v>
      </c>
      <c r="N920" t="s">
        <v>78</v>
      </c>
      <c r="O920" t="s">
        <v>74</v>
      </c>
      <c r="P920" t="s">
        <v>74</v>
      </c>
      <c r="Q920" t="s">
        <v>74</v>
      </c>
      <c r="R920" t="s">
        <v>74</v>
      </c>
      <c r="S920" t="s">
        <v>74</v>
      </c>
      <c r="T920" t="s">
        <v>74</v>
      </c>
      <c r="U920" t="s">
        <v>13745</v>
      </c>
      <c r="V920" t="s">
        <v>13746</v>
      </c>
      <c r="W920" t="s">
        <v>13747</v>
      </c>
      <c r="X920" t="s">
        <v>13748</v>
      </c>
      <c r="Y920" t="s">
        <v>13749</v>
      </c>
      <c r="Z920" t="s">
        <v>13750</v>
      </c>
      <c r="AA920" t="s">
        <v>13751</v>
      </c>
      <c r="AB920" t="s">
        <v>13752</v>
      </c>
      <c r="AC920" t="s">
        <v>13753</v>
      </c>
      <c r="AD920" t="s">
        <v>1015</v>
      </c>
      <c r="AE920" t="s">
        <v>74</v>
      </c>
      <c r="AF920" t="s">
        <v>74</v>
      </c>
      <c r="AG920">
        <v>25</v>
      </c>
      <c r="AH920">
        <v>220</v>
      </c>
      <c r="AI920">
        <v>243</v>
      </c>
      <c r="AJ920">
        <v>3</v>
      </c>
      <c r="AK920">
        <v>45</v>
      </c>
      <c r="AL920" t="s">
        <v>7361</v>
      </c>
      <c r="AM920" t="s">
        <v>2541</v>
      </c>
      <c r="AN920" t="s">
        <v>7362</v>
      </c>
      <c r="AO920" t="s">
        <v>7363</v>
      </c>
      <c r="AP920" t="s">
        <v>7364</v>
      </c>
      <c r="AQ920" t="s">
        <v>74</v>
      </c>
      <c r="AR920" t="s">
        <v>6088</v>
      </c>
      <c r="AS920" t="s">
        <v>7365</v>
      </c>
      <c r="AT920" t="s">
        <v>13699</v>
      </c>
      <c r="AU920">
        <v>2005</v>
      </c>
      <c r="AV920">
        <v>309</v>
      </c>
      <c r="AW920">
        <v>5733</v>
      </c>
      <c r="AX920" t="s">
        <v>74</v>
      </c>
      <c r="AY920" t="s">
        <v>74</v>
      </c>
      <c r="AZ920" t="s">
        <v>74</v>
      </c>
      <c r="BA920" t="s">
        <v>74</v>
      </c>
      <c r="BB920">
        <v>464</v>
      </c>
      <c r="BC920">
        <v>467</v>
      </c>
      <c r="BD920" t="s">
        <v>74</v>
      </c>
      <c r="BE920" t="s">
        <v>13754</v>
      </c>
      <c r="BF920" t="str">
        <f>HYPERLINK("http://dx.doi.org/10.1126/science.1106888","http://dx.doi.org/10.1126/science.1106888")</f>
        <v>http://dx.doi.org/10.1126/science.1106888</v>
      </c>
      <c r="BG920" t="s">
        <v>74</v>
      </c>
      <c r="BH920" t="s">
        <v>74</v>
      </c>
      <c r="BI920">
        <v>4</v>
      </c>
      <c r="BJ920" t="s">
        <v>3495</v>
      </c>
      <c r="BK920" t="s">
        <v>98</v>
      </c>
      <c r="BL920" t="s">
        <v>3496</v>
      </c>
      <c r="BM920" t="s">
        <v>13755</v>
      </c>
      <c r="BN920">
        <v>15947138</v>
      </c>
      <c r="BO920" t="s">
        <v>1900</v>
      </c>
      <c r="BP920" t="s">
        <v>74</v>
      </c>
      <c r="BQ920" t="s">
        <v>74</v>
      </c>
      <c r="BR920" t="s">
        <v>101</v>
      </c>
      <c r="BS920" t="s">
        <v>13756</v>
      </c>
      <c r="BT920" t="str">
        <f>HYPERLINK("https%3A%2F%2Fwww.webofscience.com%2Fwos%2Fwoscc%2Ffull-record%2FWOS:000230574900046","View Full Record in Web of Science")</f>
        <v>View Full Record in Web of Science</v>
      </c>
    </row>
    <row r="921" spans="1:72" x14ac:dyDescent="0.15">
      <c r="A921" t="s">
        <v>72</v>
      </c>
      <c r="B921" t="s">
        <v>13757</v>
      </c>
      <c r="C921" t="s">
        <v>74</v>
      </c>
      <c r="D921" t="s">
        <v>74</v>
      </c>
      <c r="E921" t="s">
        <v>74</v>
      </c>
      <c r="F921" t="s">
        <v>13757</v>
      </c>
      <c r="G921" t="s">
        <v>74</v>
      </c>
      <c r="H921" t="s">
        <v>74</v>
      </c>
      <c r="I921" t="s">
        <v>13758</v>
      </c>
      <c r="J921" t="s">
        <v>5251</v>
      </c>
      <c r="K921" t="s">
        <v>74</v>
      </c>
      <c r="L921" t="s">
        <v>74</v>
      </c>
      <c r="M921" t="s">
        <v>77</v>
      </c>
      <c r="N921" t="s">
        <v>78</v>
      </c>
      <c r="O921" t="s">
        <v>74</v>
      </c>
      <c r="P921" t="s">
        <v>74</v>
      </c>
      <c r="Q921" t="s">
        <v>74</v>
      </c>
      <c r="R921" t="s">
        <v>74</v>
      </c>
      <c r="S921" t="s">
        <v>74</v>
      </c>
      <c r="T921" t="s">
        <v>74</v>
      </c>
      <c r="U921" t="s">
        <v>13759</v>
      </c>
      <c r="V921" t="s">
        <v>13760</v>
      </c>
      <c r="W921" t="s">
        <v>13761</v>
      </c>
      <c r="X921" t="s">
        <v>13762</v>
      </c>
      <c r="Y921" t="s">
        <v>13763</v>
      </c>
      <c r="Z921" t="s">
        <v>13764</v>
      </c>
      <c r="AA921" t="s">
        <v>13765</v>
      </c>
      <c r="AB921" t="s">
        <v>13766</v>
      </c>
      <c r="AC921" t="s">
        <v>74</v>
      </c>
      <c r="AD921" t="s">
        <v>74</v>
      </c>
      <c r="AE921" t="s">
        <v>74</v>
      </c>
      <c r="AF921" t="s">
        <v>74</v>
      </c>
      <c r="AG921">
        <v>29</v>
      </c>
      <c r="AH921">
        <v>13</v>
      </c>
      <c r="AI921">
        <v>15</v>
      </c>
      <c r="AJ921">
        <v>0</v>
      </c>
      <c r="AK921">
        <v>3</v>
      </c>
      <c r="AL921" t="s">
        <v>4487</v>
      </c>
      <c r="AM921" t="s">
        <v>2541</v>
      </c>
      <c r="AN921" t="s">
        <v>4488</v>
      </c>
      <c r="AO921" t="s">
        <v>5260</v>
      </c>
      <c r="AP921" t="s">
        <v>5261</v>
      </c>
      <c r="AQ921" t="s">
        <v>74</v>
      </c>
      <c r="AR921" t="s">
        <v>5262</v>
      </c>
      <c r="AS921" t="s">
        <v>5263</v>
      </c>
      <c r="AT921" t="s">
        <v>13767</v>
      </c>
      <c r="AU921">
        <v>2005</v>
      </c>
      <c r="AV921">
        <v>110</v>
      </c>
      <c r="AW921" t="s">
        <v>13768</v>
      </c>
      <c r="AX921" t="s">
        <v>74</v>
      </c>
      <c r="AY921" t="s">
        <v>74</v>
      </c>
      <c r="AZ921" t="s">
        <v>74</v>
      </c>
      <c r="BA921" t="s">
        <v>74</v>
      </c>
      <c r="BB921" t="s">
        <v>74</v>
      </c>
      <c r="BC921" t="s">
        <v>74</v>
      </c>
      <c r="BD921" t="s">
        <v>13769</v>
      </c>
      <c r="BE921" t="s">
        <v>13770</v>
      </c>
      <c r="BF921" t="str">
        <f>HYPERLINK("http://dx.doi.org/10.1029/2004JC002610","http://dx.doi.org/10.1029/2004JC002610")</f>
        <v>http://dx.doi.org/10.1029/2004JC002610</v>
      </c>
      <c r="BG921" t="s">
        <v>74</v>
      </c>
      <c r="BH921" t="s">
        <v>74</v>
      </c>
      <c r="BI921">
        <v>14</v>
      </c>
      <c r="BJ921" t="s">
        <v>629</v>
      </c>
      <c r="BK921" t="s">
        <v>98</v>
      </c>
      <c r="BL921" t="s">
        <v>629</v>
      </c>
      <c r="BM921" t="s">
        <v>13771</v>
      </c>
      <c r="BN921" t="s">
        <v>74</v>
      </c>
      <c r="BO921" t="s">
        <v>1900</v>
      </c>
      <c r="BP921" t="s">
        <v>74</v>
      </c>
      <c r="BQ921" t="s">
        <v>74</v>
      </c>
      <c r="BR921" t="s">
        <v>101</v>
      </c>
      <c r="BS921" t="s">
        <v>13772</v>
      </c>
      <c r="BT921" t="str">
        <f>HYPERLINK("https%3A%2F%2Fwww.webofscience.com%2Fwos%2Fwoscc%2Ffull-record%2FWOS:000230836400001","View Full Record in Web of Science")</f>
        <v>View Full Record in Web of Science</v>
      </c>
    </row>
    <row r="922" spans="1:72" x14ac:dyDescent="0.15">
      <c r="A922" t="s">
        <v>72</v>
      </c>
      <c r="B922" t="s">
        <v>13773</v>
      </c>
      <c r="C922" t="s">
        <v>74</v>
      </c>
      <c r="D922" t="s">
        <v>74</v>
      </c>
      <c r="E922" t="s">
        <v>74</v>
      </c>
      <c r="F922" t="s">
        <v>13773</v>
      </c>
      <c r="G922" t="s">
        <v>74</v>
      </c>
      <c r="H922" t="s">
        <v>74</v>
      </c>
      <c r="I922" t="s">
        <v>13774</v>
      </c>
      <c r="J922" t="s">
        <v>5441</v>
      </c>
      <c r="K922" t="s">
        <v>74</v>
      </c>
      <c r="L922" t="s">
        <v>74</v>
      </c>
      <c r="M922" t="s">
        <v>77</v>
      </c>
      <c r="N922" t="s">
        <v>78</v>
      </c>
      <c r="O922" t="s">
        <v>74</v>
      </c>
      <c r="P922" t="s">
        <v>74</v>
      </c>
      <c r="Q922" t="s">
        <v>74</v>
      </c>
      <c r="R922" t="s">
        <v>74</v>
      </c>
      <c r="S922" t="s">
        <v>74</v>
      </c>
      <c r="T922" t="s">
        <v>74</v>
      </c>
      <c r="U922" t="s">
        <v>13775</v>
      </c>
      <c r="V922" t="s">
        <v>13776</v>
      </c>
      <c r="W922" t="s">
        <v>13777</v>
      </c>
      <c r="X922" t="s">
        <v>13778</v>
      </c>
      <c r="Y922" t="s">
        <v>13779</v>
      </c>
      <c r="Z922" t="s">
        <v>13780</v>
      </c>
      <c r="AA922" t="s">
        <v>13781</v>
      </c>
      <c r="AB922" t="s">
        <v>13782</v>
      </c>
      <c r="AC922" t="s">
        <v>74</v>
      </c>
      <c r="AD922" t="s">
        <v>74</v>
      </c>
      <c r="AE922" t="s">
        <v>74</v>
      </c>
      <c r="AF922" t="s">
        <v>74</v>
      </c>
      <c r="AG922">
        <v>56</v>
      </c>
      <c r="AH922">
        <v>45</v>
      </c>
      <c r="AI922">
        <v>50</v>
      </c>
      <c r="AJ922">
        <v>0</v>
      </c>
      <c r="AK922">
        <v>16</v>
      </c>
      <c r="AL922" t="s">
        <v>4487</v>
      </c>
      <c r="AM922" t="s">
        <v>2541</v>
      </c>
      <c r="AN922" t="s">
        <v>4488</v>
      </c>
      <c r="AO922" t="s">
        <v>5447</v>
      </c>
      <c r="AP922" t="s">
        <v>5448</v>
      </c>
      <c r="AQ922" t="s">
        <v>74</v>
      </c>
      <c r="AR922" t="s">
        <v>5441</v>
      </c>
      <c r="AS922" t="s">
        <v>5449</v>
      </c>
      <c r="AT922" t="s">
        <v>13767</v>
      </c>
      <c r="AU922">
        <v>2005</v>
      </c>
      <c r="AV922">
        <v>20</v>
      </c>
      <c r="AW922">
        <v>3</v>
      </c>
      <c r="AX922" t="s">
        <v>74</v>
      </c>
      <c r="AY922" t="s">
        <v>74</v>
      </c>
      <c r="AZ922" t="s">
        <v>74</v>
      </c>
      <c r="BA922" t="s">
        <v>74</v>
      </c>
      <c r="BB922" t="s">
        <v>74</v>
      </c>
      <c r="BC922" t="s">
        <v>74</v>
      </c>
      <c r="BD922" t="s">
        <v>13783</v>
      </c>
      <c r="BE922" t="s">
        <v>13784</v>
      </c>
      <c r="BF922" t="str">
        <f>HYPERLINK("http://dx.doi.org/10.1029/2004PA001083","http://dx.doi.org/10.1029/2004PA001083")</f>
        <v>http://dx.doi.org/10.1029/2004PA001083</v>
      </c>
      <c r="BG922" t="s">
        <v>74</v>
      </c>
      <c r="BH922" t="s">
        <v>74</v>
      </c>
      <c r="BI922">
        <v>18</v>
      </c>
      <c r="BJ922" t="s">
        <v>5452</v>
      </c>
      <c r="BK922" t="s">
        <v>98</v>
      </c>
      <c r="BL922" t="s">
        <v>5453</v>
      </c>
      <c r="BM922" t="s">
        <v>13785</v>
      </c>
      <c r="BN922" t="s">
        <v>74</v>
      </c>
      <c r="BO922" t="s">
        <v>1900</v>
      </c>
      <c r="BP922" t="s">
        <v>74</v>
      </c>
      <c r="BQ922" t="s">
        <v>74</v>
      </c>
      <c r="BR922" t="s">
        <v>101</v>
      </c>
      <c r="BS922" t="s">
        <v>13786</v>
      </c>
      <c r="BT922" t="str">
        <f>HYPERLINK("https%3A%2F%2Fwww.webofscience.com%2Fwos%2Fwoscc%2Ffull-record%2FWOS:000230839200001","View Full Record in Web of Science")</f>
        <v>View Full Record in Web of Science</v>
      </c>
    </row>
    <row r="923" spans="1:72" x14ac:dyDescent="0.15">
      <c r="A923" t="s">
        <v>72</v>
      </c>
      <c r="B923" t="s">
        <v>13787</v>
      </c>
      <c r="C923" t="s">
        <v>74</v>
      </c>
      <c r="D923" t="s">
        <v>74</v>
      </c>
      <c r="E923" t="s">
        <v>74</v>
      </c>
      <c r="F923" t="s">
        <v>13787</v>
      </c>
      <c r="G923" t="s">
        <v>74</v>
      </c>
      <c r="H923" t="s">
        <v>74</v>
      </c>
      <c r="I923" t="s">
        <v>13788</v>
      </c>
      <c r="J923" t="s">
        <v>13789</v>
      </c>
      <c r="K923" t="s">
        <v>74</v>
      </c>
      <c r="L923" t="s">
        <v>74</v>
      </c>
      <c r="M923" t="s">
        <v>77</v>
      </c>
      <c r="N923" t="s">
        <v>78</v>
      </c>
      <c r="O923" t="s">
        <v>74</v>
      </c>
      <c r="P923" t="s">
        <v>74</v>
      </c>
      <c r="Q923" t="s">
        <v>74</v>
      </c>
      <c r="R923" t="s">
        <v>74</v>
      </c>
      <c r="S923" t="s">
        <v>74</v>
      </c>
      <c r="T923" t="s">
        <v>13790</v>
      </c>
      <c r="U923" t="s">
        <v>13791</v>
      </c>
      <c r="V923" t="s">
        <v>13792</v>
      </c>
      <c r="W923" t="s">
        <v>13793</v>
      </c>
      <c r="X923" t="s">
        <v>13794</v>
      </c>
      <c r="Y923" t="s">
        <v>13795</v>
      </c>
      <c r="Z923" t="s">
        <v>13796</v>
      </c>
      <c r="AA923" t="s">
        <v>13797</v>
      </c>
      <c r="AB923" t="s">
        <v>13798</v>
      </c>
      <c r="AC923" t="s">
        <v>74</v>
      </c>
      <c r="AD923" t="s">
        <v>74</v>
      </c>
      <c r="AE923" t="s">
        <v>74</v>
      </c>
      <c r="AF923" t="s">
        <v>74</v>
      </c>
      <c r="AG923">
        <v>63</v>
      </c>
      <c r="AH923">
        <v>434</v>
      </c>
      <c r="AI923">
        <v>464</v>
      </c>
      <c r="AJ923">
        <v>0</v>
      </c>
      <c r="AK923">
        <v>49</v>
      </c>
      <c r="AL923" t="s">
        <v>3283</v>
      </c>
      <c r="AM923" t="s">
        <v>1148</v>
      </c>
      <c r="AN923" t="s">
        <v>3284</v>
      </c>
      <c r="AO923" t="s">
        <v>13799</v>
      </c>
      <c r="AP923" t="s">
        <v>13800</v>
      </c>
      <c r="AQ923" t="s">
        <v>74</v>
      </c>
      <c r="AR923" t="s">
        <v>13801</v>
      </c>
      <c r="AS923" t="s">
        <v>13802</v>
      </c>
      <c r="AT923" t="s">
        <v>13803</v>
      </c>
      <c r="AU923">
        <v>2005</v>
      </c>
      <c r="AV923">
        <v>220</v>
      </c>
      <c r="AW923" t="s">
        <v>485</v>
      </c>
      <c r="AX923" t="s">
        <v>74</v>
      </c>
      <c r="AY923" t="s">
        <v>74</v>
      </c>
      <c r="AZ923" t="s">
        <v>74</v>
      </c>
      <c r="BA923" t="s">
        <v>74</v>
      </c>
      <c r="BB923">
        <v>121</v>
      </c>
      <c r="BC923">
        <v>137</v>
      </c>
      <c r="BD923" t="s">
        <v>74</v>
      </c>
      <c r="BE923" t="s">
        <v>13804</v>
      </c>
      <c r="BF923" t="str">
        <f>HYPERLINK("http://dx.doi.org/10.1016/j.chemgeo.2005.03.010","http://dx.doi.org/10.1016/j.chemgeo.2005.03.010")</f>
        <v>http://dx.doi.org/10.1016/j.chemgeo.2005.03.010</v>
      </c>
      <c r="BG923" t="s">
        <v>74</v>
      </c>
      <c r="BH923" t="s">
        <v>74</v>
      </c>
      <c r="BI923">
        <v>17</v>
      </c>
      <c r="BJ923" t="s">
        <v>1348</v>
      </c>
      <c r="BK923" t="s">
        <v>98</v>
      </c>
      <c r="BL923" t="s">
        <v>1348</v>
      </c>
      <c r="BM923" t="s">
        <v>13805</v>
      </c>
      <c r="BN923" t="s">
        <v>74</v>
      </c>
      <c r="BO923" t="s">
        <v>74</v>
      </c>
      <c r="BP923" t="s">
        <v>74</v>
      </c>
      <c r="BQ923" t="s">
        <v>74</v>
      </c>
      <c r="BR923" t="s">
        <v>101</v>
      </c>
      <c r="BS923" t="s">
        <v>13806</v>
      </c>
      <c r="BT923" t="str">
        <f>HYPERLINK("https%3A%2F%2Fwww.webofscience.com%2Fwos%2Fwoscc%2Ffull-record%2FWOS:000230222700007","View Full Record in Web of Science")</f>
        <v>View Full Record in Web of Science</v>
      </c>
    </row>
    <row r="924" spans="1:72" x14ac:dyDescent="0.15">
      <c r="A924" t="s">
        <v>72</v>
      </c>
      <c r="B924" t="s">
        <v>13807</v>
      </c>
      <c r="C924" t="s">
        <v>74</v>
      </c>
      <c r="D924" t="s">
        <v>74</v>
      </c>
      <c r="E924" t="s">
        <v>74</v>
      </c>
      <c r="F924" t="s">
        <v>13807</v>
      </c>
      <c r="G924" t="s">
        <v>74</v>
      </c>
      <c r="H924" t="s">
        <v>74</v>
      </c>
      <c r="I924" t="s">
        <v>13808</v>
      </c>
      <c r="J924" t="s">
        <v>5134</v>
      </c>
      <c r="K924" t="s">
        <v>74</v>
      </c>
      <c r="L924" t="s">
        <v>74</v>
      </c>
      <c r="M924" t="s">
        <v>77</v>
      </c>
      <c r="N924" t="s">
        <v>78</v>
      </c>
      <c r="O924" t="s">
        <v>74</v>
      </c>
      <c r="P924" t="s">
        <v>74</v>
      </c>
      <c r="Q924" t="s">
        <v>74</v>
      </c>
      <c r="R924" t="s">
        <v>74</v>
      </c>
      <c r="S924" t="s">
        <v>74</v>
      </c>
      <c r="T924" t="s">
        <v>74</v>
      </c>
      <c r="U924" t="s">
        <v>13809</v>
      </c>
      <c r="V924" t="s">
        <v>13810</v>
      </c>
      <c r="W924" t="s">
        <v>13811</v>
      </c>
      <c r="X924" t="s">
        <v>13812</v>
      </c>
      <c r="Y924" t="s">
        <v>13813</v>
      </c>
      <c r="Z924" t="s">
        <v>13814</v>
      </c>
      <c r="AA924" t="s">
        <v>10541</v>
      </c>
      <c r="AB924" t="s">
        <v>13815</v>
      </c>
      <c r="AC924" t="s">
        <v>74</v>
      </c>
      <c r="AD924" t="s">
        <v>74</v>
      </c>
      <c r="AE924" t="s">
        <v>74</v>
      </c>
      <c r="AF924" t="s">
        <v>74</v>
      </c>
      <c r="AG924">
        <v>23</v>
      </c>
      <c r="AH924">
        <v>47</v>
      </c>
      <c r="AI924">
        <v>49</v>
      </c>
      <c r="AJ924">
        <v>0</v>
      </c>
      <c r="AK924">
        <v>7</v>
      </c>
      <c r="AL924" t="s">
        <v>4487</v>
      </c>
      <c r="AM924" t="s">
        <v>2541</v>
      </c>
      <c r="AN924" t="s">
        <v>4488</v>
      </c>
      <c r="AO924" t="s">
        <v>5142</v>
      </c>
      <c r="AP924" t="s">
        <v>5143</v>
      </c>
      <c r="AQ924" t="s">
        <v>74</v>
      </c>
      <c r="AR924" t="s">
        <v>5144</v>
      </c>
      <c r="AS924" t="s">
        <v>5145</v>
      </c>
      <c r="AT924" t="s">
        <v>13803</v>
      </c>
      <c r="AU924">
        <v>2005</v>
      </c>
      <c r="AV924">
        <v>32</v>
      </c>
      <c r="AW924">
        <v>13</v>
      </c>
      <c r="AX924" t="s">
        <v>74</v>
      </c>
      <c r="AY924" t="s">
        <v>74</v>
      </c>
      <c r="AZ924" t="s">
        <v>74</v>
      </c>
      <c r="BA924" t="s">
        <v>74</v>
      </c>
      <c r="BB924" t="s">
        <v>74</v>
      </c>
      <c r="BC924" t="s">
        <v>74</v>
      </c>
      <c r="BD924" t="s">
        <v>13816</v>
      </c>
      <c r="BE924" t="s">
        <v>13817</v>
      </c>
      <c r="BF924" t="str">
        <f>HYPERLINK("http://dx.doi.org/10.1029/2005GL022943","http://dx.doi.org/10.1029/2005GL022943")</f>
        <v>http://dx.doi.org/10.1029/2005GL022943</v>
      </c>
      <c r="BG924" t="s">
        <v>74</v>
      </c>
      <c r="BH924" t="s">
        <v>74</v>
      </c>
      <c r="BI924">
        <v>4</v>
      </c>
      <c r="BJ924" t="s">
        <v>1129</v>
      </c>
      <c r="BK924" t="s">
        <v>98</v>
      </c>
      <c r="BL924" t="s">
        <v>1130</v>
      </c>
      <c r="BM924" t="s">
        <v>13818</v>
      </c>
      <c r="BN924" t="s">
        <v>74</v>
      </c>
      <c r="BO924" t="s">
        <v>1900</v>
      </c>
      <c r="BP924" t="s">
        <v>74</v>
      </c>
      <c r="BQ924" t="s">
        <v>74</v>
      </c>
      <c r="BR924" t="s">
        <v>101</v>
      </c>
      <c r="BS924" t="s">
        <v>13819</v>
      </c>
      <c r="BT924" t="str">
        <f>HYPERLINK("https%3A%2F%2Fwww.webofscience.com%2Fwos%2Fwoscc%2Ffull-record%2FWOS:000230833100006","View Full Record in Web of Science")</f>
        <v>View Full Record in Web of Science</v>
      </c>
    </row>
    <row r="925" spans="1:72" x14ac:dyDescent="0.15">
      <c r="A925" t="s">
        <v>72</v>
      </c>
      <c r="B925" t="s">
        <v>13820</v>
      </c>
      <c r="C925" t="s">
        <v>74</v>
      </c>
      <c r="D925" t="s">
        <v>74</v>
      </c>
      <c r="E925" t="s">
        <v>74</v>
      </c>
      <c r="F925" t="s">
        <v>13820</v>
      </c>
      <c r="G925" t="s">
        <v>74</v>
      </c>
      <c r="H925" t="s">
        <v>74</v>
      </c>
      <c r="I925" t="s">
        <v>13821</v>
      </c>
      <c r="J925" t="s">
        <v>5134</v>
      </c>
      <c r="K925" t="s">
        <v>74</v>
      </c>
      <c r="L925" t="s">
        <v>74</v>
      </c>
      <c r="M925" t="s">
        <v>77</v>
      </c>
      <c r="N925" t="s">
        <v>78</v>
      </c>
      <c r="O925" t="s">
        <v>74</v>
      </c>
      <c r="P925" t="s">
        <v>74</v>
      </c>
      <c r="Q925" t="s">
        <v>74</v>
      </c>
      <c r="R925" t="s">
        <v>74</v>
      </c>
      <c r="S925" t="s">
        <v>74</v>
      </c>
      <c r="T925" t="s">
        <v>74</v>
      </c>
      <c r="U925" t="s">
        <v>13822</v>
      </c>
      <c r="V925" t="s">
        <v>13823</v>
      </c>
      <c r="W925" t="s">
        <v>13824</v>
      </c>
      <c r="X925" t="s">
        <v>13825</v>
      </c>
      <c r="Y925" t="s">
        <v>13826</v>
      </c>
      <c r="Z925" t="s">
        <v>13827</v>
      </c>
      <c r="AA925" t="s">
        <v>13828</v>
      </c>
      <c r="AB925" t="s">
        <v>13829</v>
      </c>
      <c r="AC925" t="s">
        <v>74</v>
      </c>
      <c r="AD925" t="s">
        <v>74</v>
      </c>
      <c r="AE925" t="s">
        <v>74</v>
      </c>
      <c r="AF925" t="s">
        <v>74</v>
      </c>
      <c r="AG925">
        <v>22</v>
      </c>
      <c r="AH925">
        <v>19</v>
      </c>
      <c r="AI925">
        <v>20</v>
      </c>
      <c r="AJ925">
        <v>0</v>
      </c>
      <c r="AK925">
        <v>3</v>
      </c>
      <c r="AL925" t="s">
        <v>4487</v>
      </c>
      <c r="AM925" t="s">
        <v>2541</v>
      </c>
      <c r="AN925" t="s">
        <v>4488</v>
      </c>
      <c r="AO925" t="s">
        <v>5142</v>
      </c>
      <c r="AP925" t="s">
        <v>5143</v>
      </c>
      <c r="AQ925" t="s">
        <v>74</v>
      </c>
      <c r="AR925" t="s">
        <v>5144</v>
      </c>
      <c r="AS925" t="s">
        <v>5145</v>
      </c>
      <c r="AT925" t="s">
        <v>13803</v>
      </c>
      <c r="AU925">
        <v>2005</v>
      </c>
      <c r="AV925">
        <v>32</v>
      </c>
      <c r="AW925">
        <v>13</v>
      </c>
      <c r="AX925" t="s">
        <v>74</v>
      </c>
      <c r="AY925" t="s">
        <v>74</v>
      </c>
      <c r="AZ925" t="s">
        <v>74</v>
      </c>
      <c r="BA925" t="s">
        <v>74</v>
      </c>
      <c r="BB925" t="s">
        <v>74</v>
      </c>
      <c r="BC925" t="s">
        <v>74</v>
      </c>
      <c r="BD925" t="s">
        <v>13830</v>
      </c>
      <c r="BE925" t="s">
        <v>13831</v>
      </c>
      <c r="BF925" t="str">
        <f>HYPERLINK("http://dx.doi.org/10.1029/2005GL022622","http://dx.doi.org/10.1029/2005GL022622")</f>
        <v>http://dx.doi.org/10.1029/2005GL022622</v>
      </c>
      <c r="BG925" t="s">
        <v>74</v>
      </c>
      <c r="BH925" t="s">
        <v>74</v>
      </c>
      <c r="BI925">
        <v>4</v>
      </c>
      <c r="BJ925" t="s">
        <v>1129</v>
      </c>
      <c r="BK925" t="s">
        <v>98</v>
      </c>
      <c r="BL925" t="s">
        <v>1130</v>
      </c>
      <c r="BM925" t="s">
        <v>13818</v>
      </c>
      <c r="BN925" t="s">
        <v>74</v>
      </c>
      <c r="BO925" t="s">
        <v>534</v>
      </c>
      <c r="BP925" t="s">
        <v>74</v>
      </c>
      <c r="BQ925" t="s">
        <v>74</v>
      </c>
      <c r="BR925" t="s">
        <v>101</v>
      </c>
      <c r="BS925" t="s">
        <v>13832</v>
      </c>
      <c r="BT925" t="str">
        <f>HYPERLINK("https%3A%2F%2Fwww.webofscience.com%2Fwos%2Fwoscc%2Ffull-record%2FWOS:000230833100003","View Full Record in Web of Science")</f>
        <v>View Full Record in Web of Science</v>
      </c>
    </row>
    <row r="926" spans="1:72" x14ac:dyDescent="0.15">
      <c r="A926" t="s">
        <v>72</v>
      </c>
      <c r="B926" t="s">
        <v>13833</v>
      </c>
      <c r="C926" t="s">
        <v>74</v>
      </c>
      <c r="D926" t="s">
        <v>74</v>
      </c>
      <c r="E926" t="s">
        <v>74</v>
      </c>
      <c r="F926" t="s">
        <v>13833</v>
      </c>
      <c r="G926" t="s">
        <v>74</v>
      </c>
      <c r="H926" t="s">
        <v>74</v>
      </c>
      <c r="I926" t="s">
        <v>13834</v>
      </c>
      <c r="J926" t="s">
        <v>5063</v>
      </c>
      <c r="K926" t="s">
        <v>74</v>
      </c>
      <c r="L926" t="s">
        <v>74</v>
      </c>
      <c r="M926" t="s">
        <v>77</v>
      </c>
      <c r="N926" t="s">
        <v>78</v>
      </c>
      <c r="O926" t="s">
        <v>74</v>
      </c>
      <c r="P926" t="s">
        <v>74</v>
      </c>
      <c r="Q926" t="s">
        <v>74</v>
      </c>
      <c r="R926" t="s">
        <v>74</v>
      </c>
      <c r="S926" t="s">
        <v>74</v>
      </c>
      <c r="T926" t="s">
        <v>74</v>
      </c>
      <c r="U926" t="s">
        <v>13835</v>
      </c>
      <c r="V926" t="s">
        <v>13836</v>
      </c>
      <c r="W926" t="s">
        <v>13837</v>
      </c>
      <c r="X926" t="s">
        <v>13838</v>
      </c>
      <c r="Y926" t="s">
        <v>13839</v>
      </c>
      <c r="Z926" t="s">
        <v>13840</v>
      </c>
      <c r="AA926" t="s">
        <v>13841</v>
      </c>
      <c r="AB926" t="s">
        <v>13842</v>
      </c>
      <c r="AC926" t="s">
        <v>74</v>
      </c>
      <c r="AD926" t="s">
        <v>74</v>
      </c>
      <c r="AE926" t="s">
        <v>74</v>
      </c>
      <c r="AF926" t="s">
        <v>74</v>
      </c>
      <c r="AG926">
        <v>37</v>
      </c>
      <c r="AH926">
        <v>14</v>
      </c>
      <c r="AI926">
        <v>14</v>
      </c>
      <c r="AJ926">
        <v>0</v>
      </c>
      <c r="AK926">
        <v>4</v>
      </c>
      <c r="AL926" t="s">
        <v>4487</v>
      </c>
      <c r="AM926" t="s">
        <v>2541</v>
      </c>
      <c r="AN926" t="s">
        <v>4488</v>
      </c>
      <c r="AO926" t="s">
        <v>5072</v>
      </c>
      <c r="AP926" t="s">
        <v>74</v>
      </c>
      <c r="AQ926" t="s">
        <v>74</v>
      </c>
      <c r="AR926" t="s">
        <v>5074</v>
      </c>
      <c r="AS926" t="s">
        <v>5075</v>
      </c>
      <c r="AT926" t="s">
        <v>13803</v>
      </c>
      <c r="AU926">
        <v>2005</v>
      </c>
      <c r="AV926">
        <v>110</v>
      </c>
      <c r="AW926" t="s">
        <v>13738</v>
      </c>
      <c r="AX926" t="s">
        <v>74</v>
      </c>
      <c r="AY926" t="s">
        <v>74</v>
      </c>
      <c r="AZ926" t="s">
        <v>74</v>
      </c>
      <c r="BA926" t="s">
        <v>74</v>
      </c>
      <c r="BB926" t="s">
        <v>74</v>
      </c>
      <c r="BC926" t="s">
        <v>74</v>
      </c>
      <c r="BD926" t="s">
        <v>13843</v>
      </c>
      <c r="BE926" t="s">
        <v>13844</v>
      </c>
      <c r="BF926" t="str">
        <f>HYPERLINK("http://dx.doi.org/10.1029/2004JD005280","http://dx.doi.org/10.1029/2004JD005280")</f>
        <v>http://dx.doi.org/10.1029/2004JD005280</v>
      </c>
      <c r="BG926" t="s">
        <v>74</v>
      </c>
      <c r="BH926" t="s">
        <v>74</v>
      </c>
      <c r="BI926">
        <v>14</v>
      </c>
      <c r="BJ926" t="s">
        <v>2033</v>
      </c>
      <c r="BK926" t="s">
        <v>98</v>
      </c>
      <c r="BL926" t="s">
        <v>2033</v>
      </c>
      <c r="BM926" t="s">
        <v>13845</v>
      </c>
      <c r="BN926" t="s">
        <v>74</v>
      </c>
      <c r="BO926" t="s">
        <v>1900</v>
      </c>
      <c r="BP926" t="s">
        <v>74</v>
      </c>
      <c r="BQ926" t="s">
        <v>74</v>
      </c>
      <c r="BR926" t="s">
        <v>101</v>
      </c>
      <c r="BS926" t="s">
        <v>13846</v>
      </c>
      <c r="BT926" t="str">
        <f>HYPERLINK("https%3A%2F%2Fwww.webofscience.com%2Fwos%2Fwoscc%2Ffull-record%2FWOS:000230835600004","View Full Record in Web of Science")</f>
        <v>View Full Record in Web of Science</v>
      </c>
    </row>
    <row r="927" spans="1:72" x14ac:dyDescent="0.15">
      <c r="A927" t="s">
        <v>72</v>
      </c>
      <c r="B927" t="s">
        <v>13847</v>
      </c>
      <c r="C927" t="s">
        <v>74</v>
      </c>
      <c r="D927" t="s">
        <v>74</v>
      </c>
      <c r="E927" t="s">
        <v>74</v>
      </c>
      <c r="F927" t="s">
        <v>13847</v>
      </c>
      <c r="G927" t="s">
        <v>74</v>
      </c>
      <c r="H927" t="s">
        <v>74</v>
      </c>
      <c r="I927" t="s">
        <v>13848</v>
      </c>
      <c r="J927" t="s">
        <v>5134</v>
      </c>
      <c r="K927" t="s">
        <v>74</v>
      </c>
      <c r="L927" t="s">
        <v>74</v>
      </c>
      <c r="M927" t="s">
        <v>77</v>
      </c>
      <c r="N927" t="s">
        <v>78</v>
      </c>
      <c r="O927" t="s">
        <v>74</v>
      </c>
      <c r="P927" t="s">
        <v>74</v>
      </c>
      <c r="Q927" t="s">
        <v>74</v>
      </c>
      <c r="R927" t="s">
        <v>74</v>
      </c>
      <c r="S927" t="s">
        <v>74</v>
      </c>
      <c r="T927" t="s">
        <v>74</v>
      </c>
      <c r="U927" t="s">
        <v>13849</v>
      </c>
      <c r="V927" t="s">
        <v>13850</v>
      </c>
      <c r="W927" t="s">
        <v>13851</v>
      </c>
      <c r="X927" t="s">
        <v>13852</v>
      </c>
      <c r="Y927" t="s">
        <v>13853</v>
      </c>
      <c r="Z927" t="s">
        <v>13854</v>
      </c>
      <c r="AA927" t="s">
        <v>13855</v>
      </c>
      <c r="AB927" t="s">
        <v>13856</v>
      </c>
      <c r="AC927" t="s">
        <v>74</v>
      </c>
      <c r="AD927" t="s">
        <v>74</v>
      </c>
      <c r="AE927" t="s">
        <v>74</v>
      </c>
      <c r="AF927" t="s">
        <v>74</v>
      </c>
      <c r="AG927">
        <v>38</v>
      </c>
      <c r="AH927">
        <v>90</v>
      </c>
      <c r="AI927">
        <v>104</v>
      </c>
      <c r="AJ927">
        <v>0</v>
      </c>
      <c r="AK927">
        <v>35</v>
      </c>
      <c r="AL927" t="s">
        <v>4487</v>
      </c>
      <c r="AM927" t="s">
        <v>2541</v>
      </c>
      <c r="AN927" t="s">
        <v>4488</v>
      </c>
      <c r="AO927" t="s">
        <v>5142</v>
      </c>
      <c r="AP927" t="s">
        <v>5143</v>
      </c>
      <c r="AQ927" t="s">
        <v>74</v>
      </c>
      <c r="AR927" t="s">
        <v>5144</v>
      </c>
      <c r="AS927" t="s">
        <v>5145</v>
      </c>
      <c r="AT927" t="s">
        <v>13857</v>
      </c>
      <c r="AU927">
        <v>2005</v>
      </c>
      <c r="AV927">
        <v>32</v>
      </c>
      <c r="AW927">
        <v>13</v>
      </c>
      <c r="AX927" t="s">
        <v>74</v>
      </c>
      <c r="AY927" t="s">
        <v>74</v>
      </c>
      <c r="AZ927" t="s">
        <v>74</v>
      </c>
      <c r="BA927" t="s">
        <v>74</v>
      </c>
      <c r="BB927" t="s">
        <v>74</v>
      </c>
      <c r="BC927" t="s">
        <v>74</v>
      </c>
      <c r="BD927" t="s">
        <v>13858</v>
      </c>
      <c r="BE927" t="s">
        <v>13859</v>
      </c>
      <c r="BF927" t="str">
        <f>HYPERLINK("http://dx.doi.org/10.1029/2004GL022121","http://dx.doi.org/10.1029/2004GL022121")</f>
        <v>http://dx.doi.org/10.1029/2004GL022121</v>
      </c>
      <c r="BG927" t="s">
        <v>74</v>
      </c>
      <c r="BH927" t="s">
        <v>74</v>
      </c>
      <c r="BI927">
        <v>4</v>
      </c>
      <c r="BJ927" t="s">
        <v>1129</v>
      </c>
      <c r="BK927" t="s">
        <v>98</v>
      </c>
      <c r="BL927" t="s">
        <v>1130</v>
      </c>
      <c r="BM927" t="s">
        <v>13860</v>
      </c>
      <c r="BN927" t="s">
        <v>74</v>
      </c>
      <c r="BO927" t="s">
        <v>1900</v>
      </c>
      <c r="BP927" t="s">
        <v>74</v>
      </c>
      <c r="BQ927" t="s">
        <v>74</v>
      </c>
      <c r="BR927" t="s">
        <v>101</v>
      </c>
      <c r="BS927" t="s">
        <v>13861</v>
      </c>
      <c r="BT927" t="str">
        <f>HYPERLINK("https%3A%2F%2Fwww.webofscience.com%2Fwos%2Fwoscc%2Ffull-record%2FWOS:000230640100001","View Full Record in Web of Science")</f>
        <v>View Full Record in Web of Science</v>
      </c>
    </row>
    <row r="928" spans="1:72" x14ac:dyDescent="0.15">
      <c r="A928" t="s">
        <v>72</v>
      </c>
      <c r="B928" t="s">
        <v>13862</v>
      </c>
      <c r="C928" t="s">
        <v>74</v>
      </c>
      <c r="D928" t="s">
        <v>74</v>
      </c>
      <c r="E928" t="s">
        <v>74</v>
      </c>
      <c r="F928" t="s">
        <v>13862</v>
      </c>
      <c r="G928" t="s">
        <v>74</v>
      </c>
      <c r="H928" t="s">
        <v>74</v>
      </c>
      <c r="I928" t="s">
        <v>13863</v>
      </c>
      <c r="J928" t="s">
        <v>5134</v>
      </c>
      <c r="K928" t="s">
        <v>74</v>
      </c>
      <c r="L928" t="s">
        <v>74</v>
      </c>
      <c r="M928" t="s">
        <v>77</v>
      </c>
      <c r="N928" t="s">
        <v>78</v>
      </c>
      <c r="O928" t="s">
        <v>74</v>
      </c>
      <c r="P928" t="s">
        <v>74</v>
      </c>
      <c r="Q928" t="s">
        <v>74</v>
      </c>
      <c r="R928" t="s">
        <v>74</v>
      </c>
      <c r="S928" t="s">
        <v>74</v>
      </c>
      <c r="T928" t="s">
        <v>74</v>
      </c>
      <c r="U928" t="s">
        <v>13864</v>
      </c>
      <c r="V928" t="s">
        <v>13865</v>
      </c>
      <c r="W928" t="s">
        <v>13866</v>
      </c>
      <c r="X928" t="s">
        <v>13867</v>
      </c>
      <c r="Y928" t="s">
        <v>13868</v>
      </c>
      <c r="Z928" t="s">
        <v>13869</v>
      </c>
      <c r="AA928" t="s">
        <v>13870</v>
      </c>
      <c r="AB928" t="s">
        <v>13871</v>
      </c>
      <c r="AC928" t="s">
        <v>74</v>
      </c>
      <c r="AD928" t="s">
        <v>74</v>
      </c>
      <c r="AE928" t="s">
        <v>74</v>
      </c>
      <c r="AF928" t="s">
        <v>74</v>
      </c>
      <c r="AG928">
        <v>16</v>
      </c>
      <c r="AH928">
        <v>68</v>
      </c>
      <c r="AI928">
        <v>80</v>
      </c>
      <c r="AJ928">
        <v>1</v>
      </c>
      <c r="AK928">
        <v>34</v>
      </c>
      <c r="AL928" t="s">
        <v>4487</v>
      </c>
      <c r="AM928" t="s">
        <v>2541</v>
      </c>
      <c r="AN928" t="s">
        <v>4488</v>
      </c>
      <c r="AO928" t="s">
        <v>5142</v>
      </c>
      <c r="AP928" t="s">
        <v>74</v>
      </c>
      <c r="AQ928" t="s">
        <v>74</v>
      </c>
      <c r="AR928" t="s">
        <v>5144</v>
      </c>
      <c r="AS928" t="s">
        <v>5145</v>
      </c>
      <c r="AT928" t="s">
        <v>13872</v>
      </c>
      <c r="AU928">
        <v>2005</v>
      </c>
      <c r="AV928">
        <v>32</v>
      </c>
      <c r="AW928">
        <v>13</v>
      </c>
      <c r="AX928" t="s">
        <v>74</v>
      </c>
      <c r="AY928" t="s">
        <v>74</v>
      </c>
      <c r="AZ928" t="s">
        <v>74</v>
      </c>
      <c r="BA928" t="s">
        <v>74</v>
      </c>
      <c r="BB928" t="s">
        <v>74</v>
      </c>
      <c r="BC928" t="s">
        <v>74</v>
      </c>
      <c r="BD928" t="s">
        <v>13873</v>
      </c>
      <c r="BE928" t="s">
        <v>13874</v>
      </c>
      <c r="BF928" t="str">
        <f>HYPERLINK("http://dx.doi.org/10.1029/2005GL023011","http://dx.doi.org/10.1029/2005GL023011")</f>
        <v>http://dx.doi.org/10.1029/2005GL023011</v>
      </c>
      <c r="BG928" t="s">
        <v>74</v>
      </c>
      <c r="BH928" t="s">
        <v>74</v>
      </c>
      <c r="BI928">
        <v>4</v>
      </c>
      <c r="BJ928" t="s">
        <v>1129</v>
      </c>
      <c r="BK928" t="s">
        <v>98</v>
      </c>
      <c r="BL928" t="s">
        <v>1130</v>
      </c>
      <c r="BM928" t="s">
        <v>13875</v>
      </c>
      <c r="BN928" t="s">
        <v>74</v>
      </c>
      <c r="BO928" t="s">
        <v>5268</v>
      </c>
      <c r="BP928" t="s">
        <v>74</v>
      </c>
      <c r="BQ928" t="s">
        <v>74</v>
      </c>
      <c r="BR928" t="s">
        <v>101</v>
      </c>
      <c r="BS928" t="s">
        <v>13876</v>
      </c>
      <c r="BT928" t="str">
        <f>HYPERLINK("https%3A%2F%2Fwww.webofscience.com%2Fwos%2Fwoscc%2Ffull-record%2FWOS:000230639600005","View Full Record in Web of Science")</f>
        <v>View Full Record in Web of Science</v>
      </c>
    </row>
    <row r="929" spans="1:72" x14ac:dyDescent="0.15">
      <c r="A929" t="s">
        <v>72</v>
      </c>
      <c r="B929" t="s">
        <v>13877</v>
      </c>
      <c r="C929" t="s">
        <v>74</v>
      </c>
      <c r="D929" t="s">
        <v>74</v>
      </c>
      <c r="E929" t="s">
        <v>74</v>
      </c>
      <c r="F929" t="s">
        <v>13877</v>
      </c>
      <c r="G929" t="s">
        <v>74</v>
      </c>
      <c r="H929" t="s">
        <v>74</v>
      </c>
      <c r="I929" t="s">
        <v>13878</v>
      </c>
      <c r="J929" t="s">
        <v>5134</v>
      </c>
      <c r="K929" t="s">
        <v>74</v>
      </c>
      <c r="L929" t="s">
        <v>74</v>
      </c>
      <c r="M929" t="s">
        <v>77</v>
      </c>
      <c r="N929" t="s">
        <v>78</v>
      </c>
      <c r="O929" t="s">
        <v>74</v>
      </c>
      <c r="P929" t="s">
        <v>74</v>
      </c>
      <c r="Q929" t="s">
        <v>74</v>
      </c>
      <c r="R929" t="s">
        <v>74</v>
      </c>
      <c r="S929" t="s">
        <v>74</v>
      </c>
      <c r="T929" t="s">
        <v>74</v>
      </c>
      <c r="U929" t="s">
        <v>13879</v>
      </c>
      <c r="V929" t="s">
        <v>13880</v>
      </c>
      <c r="W929" t="s">
        <v>13881</v>
      </c>
      <c r="X929" t="s">
        <v>13882</v>
      </c>
      <c r="Y929" t="s">
        <v>13883</v>
      </c>
      <c r="Z929" t="s">
        <v>13884</v>
      </c>
      <c r="AA929" t="s">
        <v>13885</v>
      </c>
      <c r="AB929" t="s">
        <v>13886</v>
      </c>
      <c r="AC929" t="s">
        <v>74</v>
      </c>
      <c r="AD929" t="s">
        <v>74</v>
      </c>
      <c r="AE929" t="s">
        <v>74</v>
      </c>
      <c r="AF929" t="s">
        <v>74</v>
      </c>
      <c r="AG929">
        <v>23</v>
      </c>
      <c r="AH929">
        <v>24</v>
      </c>
      <c r="AI929">
        <v>26</v>
      </c>
      <c r="AJ929">
        <v>2</v>
      </c>
      <c r="AK929">
        <v>10</v>
      </c>
      <c r="AL929" t="s">
        <v>4487</v>
      </c>
      <c r="AM929" t="s">
        <v>2541</v>
      </c>
      <c r="AN929" t="s">
        <v>4488</v>
      </c>
      <c r="AO929" t="s">
        <v>5142</v>
      </c>
      <c r="AP929" t="s">
        <v>5143</v>
      </c>
      <c r="AQ929" t="s">
        <v>74</v>
      </c>
      <c r="AR929" t="s">
        <v>5144</v>
      </c>
      <c r="AS929" t="s">
        <v>5145</v>
      </c>
      <c r="AT929" t="s">
        <v>13872</v>
      </c>
      <c r="AU929">
        <v>2005</v>
      </c>
      <c r="AV929">
        <v>32</v>
      </c>
      <c r="AW929">
        <v>13</v>
      </c>
      <c r="AX929" t="s">
        <v>74</v>
      </c>
      <c r="AY929" t="s">
        <v>74</v>
      </c>
      <c r="AZ929" t="s">
        <v>74</v>
      </c>
      <c r="BA929" t="s">
        <v>74</v>
      </c>
      <c r="BB929" t="s">
        <v>74</v>
      </c>
      <c r="BC929" t="s">
        <v>74</v>
      </c>
      <c r="BD929" t="s">
        <v>13887</v>
      </c>
      <c r="BE929" t="s">
        <v>13888</v>
      </c>
      <c r="BF929" t="str">
        <f>HYPERLINK("http://dx.doi.org/10.1029/2005GL023021","http://dx.doi.org/10.1029/2005GL023021")</f>
        <v>http://dx.doi.org/10.1029/2005GL023021</v>
      </c>
      <c r="BG929" t="s">
        <v>74</v>
      </c>
      <c r="BH929" t="s">
        <v>74</v>
      </c>
      <c r="BI929">
        <v>4</v>
      </c>
      <c r="BJ929" t="s">
        <v>1129</v>
      </c>
      <c r="BK929" t="s">
        <v>98</v>
      </c>
      <c r="BL929" t="s">
        <v>1130</v>
      </c>
      <c r="BM929" t="s">
        <v>13875</v>
      </c>
      <c r="BN929" t="s">
        <v>74</v>
      </c>
      <c r="BO929" t="s">
        <v>13889</v>
      </c>
      <c r="BP929" t="s">
        <v>74</v>
      </c>
      <c r="BQ929" t="s">
        <v>74</v>
      </c>
      <c r="BR929" t="s">
        <v>101</v>
      </c>
      <c r="BS929" t="s">
        <v>13890</v>
      </c>
      <c r="BT929" t="str">
        <f>HYPERLINK("https%3A%2F%2Fwww.webofscience.com%2Fwos%2Fwoscc%2Ffull-record%2FWOS:000230639600006","View Full Record in Web of Science")</f>
        <v>View Full Record in Web of Science</v>
      </c>
    </row>
    <row r="930" spans="1:72" x14ac:dyDescent="0.15">
      <c r="A930" t="s">
        <v>72</v>
      </c>
      <c r="B930" t="s">
        <v>13891</v>
      </c>
      <c r="C930" t="s">
        <v>74</v>
      </c>
      <c r="D930" t="s">
        <v>74</v>
      </c>
      <c r="E930" t="s">
        <v>74</v>
      </c>
      <c r="F930" t="s">
        <v>13891</v>
      </c>
      <c r="G930" t="s">
        <v>74</v>
      </c>
      <c r="H930" t="s">
        <v>74</v>
      </c>
      <c r="I930" t="s">
        <v>13892</v>
      </c>
      <c r="J930" t="s">
        <v>6667</v>
      </c>
      <c r="K930" t="s">
        <v>74</v>
      </c>
      <c r="L930" t="s">
        <v>74</v>
      </c>
      <c r="M930" t="s">
        <v>77</v>
      </c>
      <c r="N930" t="s">
        <v>5777</v>
      </c>
      <c r="O930" t="s">
        <v>74</v>
      </c>
      <c r="P930" t="s">
        <v>74</v>
      </c>
      <c r="Q930" t="s">
        <v>74</v>
      </c>
      <c r="R930" t="s">
        <v>74</v>
      </c>
      <c r="S930" t="s">
        <v>74</v>
      </c>
      <c r="T930" t="s">
        <v>74</v>
      </c>
      <c r="U930" t="s">
        <v>13893</v>
      </c>
      <c r="V930" t="s">
        <v>74</v>
      </c>
      <c r="W930" t="s">
        <v>13894</v>
      </c>
      <c r="X930" t="s">
        <v>13895</v>
      </c>
      <c r="Y930" t="s">
        <v>13896</v>
      </c>
      <c r="Z930" t="s">
        <v>13897</v>
      </c>
      <c r="AA930" t="s">
        <v>13898</v>
      </c>
      <c r="AB930" t="s">
        <v>13899</v>
      </c>
      <c r="AC930" t="s">
        <v>74</v>
      </c>
      <c r="AD930" t="s">
        <v>74</v>
      </c>
      <c r="AE930" t="s">
        <v>74</v>
      </c>
      <c r="AF930" t="s">
        <v>74</v>
      </c>
      <c r="AG930">
        <v>12</v>
      </c>
      <c r="AH930">
        <v>77</v>
      </c>
      <c r="AI930">
        <v>91</v>
      </c>
      <c r="AJ930">
        <v>0</v>
      </c>
      <c r="AK930">
        <v>31</v>
      </c>
      <c r="AL930" t="s">
        <v>6669</v>
      </c>
      <c r="AM930" t="s">
        <v>1055</v>
      </c>
      <c r="AN930" t="s">
        <v>6670</v>
      </c>
      <c r="AO930" t="s">
        <v>6671</v>
      </c>
      <c r="AP930" t="s">
        <v>6672</v>
      </c>
      <c r="AQ930" t="s">
        <v>74</v>
      </c>
      <c r="AR930" t="s">
        <v>6667</v>
      </c>
      <c r="AS930" t="s">
        <v>6673</v>
      </c>
      <c r="AT930" t="s">
        <v>13900</v>
      </c>
      <c r="AU930">
        <v>2005</v>
      </c>
      <c r="AV930">
        <v>436</v>
      </c>
      <c r="AW930">
        <v>7047</v>
      </c>
      <c r="AX930" t="s">
        <v>74</v>
      </c>
      <c r="AY930" t="s">
        <v>74</v>
      </c>
      <c r="AZ930" t="s">
        <v>74</v>
      </c>
      <c r="BA930" t="s">
        <v>74</v>
      </c>
      <c r="BB930">
        <v>39</v>
      </c>
      <c r="BC930">
        <v>40</v>
      </c>
      <c r="BD930" t="s">
        <v>74</v>
      </c>
      <c r="BE930" t="s">
        <v>13901</v>
      </c>
      <c r="BF930" t="str">
        <f>HYPERLINK("http://dx.doi.org/10.1038/43639b","http://dx.doi.org/10.1038/43639b")</f>
        <v>http://dx.doi.org/10.1038/43639b</v>
      </c>
      <c r="BG930" t="s">
        <v>74</v>
      </c>
      <c r="BH930" t="s">
        <v>74</v>
      </c>
      <c r="BI930">
        <v>2</v>
      </c>
      <c r="BJ930" t="s">
        <v>3495</v>
      </c>
      <c r="BK930" t="s">
        <v>98</v>
      </c>
      <c r="BL930" t="s">
        <v>3496</v>
      </c>
      <c r="BM930" t="s">
        <v>13902</v>
      </c>
      <c r="BN930">
        <v>16001055</v>
      </c>
      <c r="BO930" t="s">
        <v>74</v>
      </c>
      <c r="BP930" t="s">
        <v>74</v>
      </c>
      <c r="BQ930" t="s">
        <v>74</v>
      </c>
      <c r="BR930" t="s">
        <v>101</v>
      </c>
      <c r="BS930" t="s">
        <v>13903</v>
      </c>
      <c r="BT930" t="str">
        <f>HYPERLINK("https%3A%2F%2Fwww.webofscience.com%2Fwos%2Fwoscc%2Ffull-record%2FWOS:000230296600033","View Full Record in Web of Science")</f>
        <v>View Full Record in Web of Science</v>
      </c>
    </row>
    <row r="931" spans="1:72" x14ac:dyDescent="0.15">
      <c r="A931" t="s">
        <v>72</v>
      </c>
      <c r="B931" t="s">
        <v>13904</v>
      </c>
      <c r="C931" t="s">
        <v>74</v>
      </c>
      <c r="D931" t="s">
        <v>74</v>
      </c>
      <c r="E931" t="s">
        <v>74</v>
      </c>
      <c r="F931" t="s">
        <v>13904</v>
      </c>
      <c r="G931" t="s">
        <v>74</v>
      </c>
      <c r="H931" t="s">
        <v>74</v>
      </c>
      <c r="I931" t="s">
        <v>13905</v>
      </c>
      <c r="J931" t="s">
        <v>5134</v>
      </c>
      <c r="K931" t="s">
        <v>74</v>
      </c>
      <c r="L931" t="s">
        <v>74</v>
      </c>
      <c r="M931" t="s">
        <v>77</v>
      </c>
      <c r="N931" t="s">
        <v>78</v>
      </c>
      <c r="O931" t="s">
        <v>74</v>
      </c>
      <c r="P931" t="s">
        <v>74</v>
      </c>
      <c r="Q931" t="s">
        <v>74</v>
      </c>
      <c r="R931" t="s">
        <v>74</v>
      </c>
      <c r="S931" t="s">
        <v>74</v>
      </c>
      <c r="T931" t="s">
        <v>74</v>
      </c>
      <c r="U931" t="s">
        <v>13906</v>
      </c>
      <c r="V931" t="s">
        <v>13907</v>
      </c>
      <c r="W931" t="s">
        <v>13908</v>
      </c>
      <c r="X931" t="s">
        <v>13909</v>
      </c>
      <c r="Y931" t="s">
        <v>13910</v>
      </c>
      <c r="Z931" t="s">
        <v>13911</v>
      </c>
      <c r="AA931" t="s">
        <v>13912</v>
      </c>
      <c r="AB931" t="s">
        <v>13913</v>
      </c>
      <c r="AC931" t="s">
        <v>74</v>
      </c>
      <c r="AD931" t="s">
        <v>74</v>
      </c>
      <c r="AE931" t="s">
        <v>74</v>
      </c>
      <c r="AF931" t="s">
        <v>74</v>
      </c>
      <c r="AG931">
        <v>20</v>
      </c>
      <c r="AH931">
        <v>40</v>
      </c>
      <c r="AI931">
        <v>48</v>
      </c>
      <c r="AJ931">
        <v>0</v>
      </c>
      <c r="AK931">
        <v>4</v>
      </c>
      <c r="AL931" t="s">
        <v>4487</v>
      </c>
      <c r="AM931" t="s">
        <v>2541</v>
      </c>
      <c r="AN931" t="s">
        <v>4488</v>
      </c>
      <c r="AO931" t="s">
        <v>5142</v>
      </c>
      <c r="AP931" t="s">
        <v>74</v>
      </c>
      <c r="AQ931" t="s">
        <v>74</v>
      </c>
      <c r="AR931" t="s">
        <v>5144</v>
      </c>
      <c r="AS931" t="s">
        <v>5145</v>
      </c>
      <c r="AT931" t="s">
        <v>13914</v>
      </c>
      <c r="AU931">
        <v>2005</v>
      </c>
      <c r="AV931">
        <v>32</v>
      </c>
      <c r="AW931">
        <v>13</v>
      </c>
      <c r="AX931" t="s">
        <v>74</v>
      </c>
      <c r="AY931" t="s">
        <v>74</v>
      </c>
      <c r="AZ931" t="s">
        <v>74</v>
      </c>
      <c r="BA931" t="s">
        <v>74</v>
      </c>
      <c r="BB931" t="s">
        <v>74</v>
      </c>
      <c r="BC931" t="s">
        <v>74</v>
      </c>
      <c r="BD931" t="s">
        <v>13915</v>
      </c>
      <c r="BE931" t="s">
        <v>13916</v>
      </c>
      <c r="BF931" t="str">
        <f>HYPERLINK("http://dx.doi.org/10.1029/2005GL023054","http://dx.doi.org/10.1029/2005GL023054")</f>
        <v>http://dx.doi.org/10.1029/2005GL023054</v>
      </c>
      <c r="BG931" t="s">
        <v>74</v>
      </c>
      <c r="BH931" t="s">
        <v>74</v>
      </c>
      <c r="BI931">
        <v>5</v>
      </c>
      <c r="BJ931" t="s">
        <v>1129</v>
      </c>
      <c r="BK931" t="s">
        <v>98</v>
      </c>
      <c r="BL931" t="s">
        <v>1130</v>
      </c>
      <c r="BM931" t="s">
        <v>13917</v>
      </c>
      <c r="BN931" t="s">
        <v>74</v>
      </c>
      <c r="BO931" t="s">
        <v>74</v>
      </c>
      <c r="BP931" t="s">
        <v>74</v>
      </c>
      <c r="BQ931" t="s">
        <v>74</v>
      </c>
      <c r="BR931" t="s">
        <v>101</v>
      </c>
      <c r="BS931" t="s">
        <v>13918</v>
      </c>
      <c r="BT931" t="str">
        <f>HYPERLINK("https%3A%2F%2Fwww.webofscience.com%2Fwos%2Fwoscc%2Ffull-record%2FWOS:000230639400005","View Full Record in Web of Science")</f>
        <v>View Full Record in Web of Science</v>
      </c>
    </row>
    <row r="932" spans="1:72" x14ac:dyDescent="0.15">
      <c r="A932" t="s">
        <v>72</v>
      </c>
      <c r="B932" t="s">
        <v>13919</v>
      </c>
      <c r="C932" t="s">
        <v>74</v>
      </c>
      <c r="D932" t="s">
        <v>74</v>
      </c>
      <c r="E932" t="s">
        <v>74</v>
      </c>
      <c r="F932" t="s">
        <v>13919</v>
      </c>
      <c r="G932" t="s">
        <v>74</v>
      </c>
      <c r="H932" t="s">
        <v>74</v>
      </c>
      <c r="I932" t="s">
        <v>13920</v>
      </c>
      <c r="J932" t="s">
        <v>7721</v>
      </c>
      <c r="K932" t="s">
        <v>74</v>
      </c>
      <c r="L932" t="s">
        <v>74</v>
      </c>
      <c r="M932" t="s">
        <v>77</v>
      </c>
      <c r="N932" t="s">
        <v>78</v>
      </c>
      <c r="O932" t="s">
        <v>74</v>
      </c>
      <c r="P932" t="s">
        <v>74</v>
      </c>
      <c r="Q932" t="s">
        <v>74</v>
      </c>
      <c r="R932" t="s">
        <v>74</v>
      </c>
      <c r="S932" t="s">
        <v>74</v>
      </c>
      <c r="T932" t="s">
        <v>74</v>
      </c>
      <c r="U932" t="s">
        <v>13921</v>
      </c>
      <c r="V932" t="s">
        <v>13922</v>
      </c>
      <c r="W932" t="s">
        <v>13923</v>
      </c>
      <c r="X932" t="s">
        <v>13924</v>
      </c>
      <c r="Y932" t="s">
        <v>10721</v>
      </c>
      <c r="Z932" t="s">
        <v>13925</v>
      </c>
      <c r="AA932" t="s">
        <v>13926</v>
      </c>
      <c r="AB932" t="s">
        <v>13927</v>
      </c>
      <c r="AC932" t="s">
        <v>13928</v>
      </c>
      <c r="AD932" t="s">
        <v>720</v>
      </c>
      <c r="AE932" t="s">
        <v>74</v>
      </c>
      <c r="AF932" t="s">
        <v>74</v>
      </c>
      <c r="AG932">
        <v>27</v>
      </c>
      <c r="AH932">
        <v>35</v>
      </c>
      <c r="AI932">
        <v>35</v>
      </c>
      <c r="AJ932">
        <v>0</v>
      </c>
      <c r="AK932">
        <v>0</v>
      </c>
      <c r="AL932" t="s">
        <v>4487</v>
      </c>
      <c r="AM932" t="s">
        <v>2541</v>
      </c>
      <c r="AN932" t="s">
        <v>4488</v>
      </c>
      <c r="AO932" t="s">
        <v>7728</v>
      </c>
      <c r="AP932" t="s">
        <v>7729</v>
      </c>
      <c r="AQ932" t="s">
        <v>74</v>
      </c>
      <c r="AR932" t="s">
        <v>7730</v>
      </c>
      <c r="AS932" t="s">
        <v>7731</v>
      </c>
      <c r="AT932" t="s">
        <v>13929</v>
      </c>
      <c r="AU932">
        <v>2005</v>
      </c>
      <c r="AV932">
        <v>110</v>
      </c>
      <c r="AW932" t="s">
        <v>13504</v>
      </c>
      <c r="AX932" t="s">
        <v>74</v>
      </c>
      <c r="AY932" t="s">
        <v>74</v>
      </c>
      <c r="AZ932" t="s">
        <v>74</v>
      </c>
      <c r="BA932" t="s">
        <v>74</v>
      </c>
      <c r="BB932" t="s">
        <v>74</v>
      </c>
      <c r="BC932" t="s">
        <v>74</v>
      </c>
      <c r="BD932" t="s">
        <v>13930</v>
      </c>
      <c r="BE932" t="s">
        <v>13931</v>
      </c>
      <c r="BF932" t="str">
        <f>HYPERLINK("http://dx.doi.org/10.1029/2004JA010762","http://dx.doi.org/10.1029/2004JA010762")</f>
        <v>http://dx.doi.org/10.1029/2004JA010762</v>
      </c>
      <c r="BG932" t="s">
        <v>74</v>
      </c>
      <c r="BH932" t="s">
        <v>74</v>
      </c>
      <c r="BI932">
        <v>7</v>
      </c>
      <c r="BJ932" t="s">
        <v>4376</v>
      </c>
      <c r="BK932" t="s">
        <v>98</v>
      </c>
      <c r="BL932" t="s">
        <v>4376</v>
      </c>
      <c r="BM932" t="s">
        <v>13932</v>
      </c>
      <c r="BN932" t="s">
        <v>74</v>
      </c>
      <c r="BO932" t="s">
        <v>1900</v>
      </c>
      <c r="BP932" t="s">
        <v>74</v>
      </c>
      <c r="BQ932" t="s">
        <v>74</v>
      </c>
      <c r="BR932" t="s">
        <v>101</v>
      </c>
      <c r="BS932" t="s">
        <v>13933</v>
      </c>
      <c r="BT932" t="str">
        <f>HYPERLINK("https%3A%2F%2Fwww.webofscience.com%2Fwos%2Fwoscc%2Ffull-record%2FWOS:000230483100002","View Full Record in Web of Science")</f>
        <v>View Full Record in Web of Science</v>
      </c>
    </row>
    <row r="933" spans="1:72" x14ac:dyDescent="0.15">
      <c r="A933" t="s">
        <v>72</v>
      </c>
      <c r="B933" t="s">
        <v>13934</v>
      </c>
      <c r="C933" t="s">
        <v>74</v>
      </c>
      <c r="D933" t="s">
        <v>74</v>
      </c>
      <c r="E933" t="s">
        <v>74</v>
      </c>
      <c r="F933" t="s">
        <v>13934</v>
      </c>
      <c r="G933" t="s">
        <v>74</v>
      </c>
      <c r="H933" t="s">
        <v>74</v>
      </c>
      <c r="I933" t="s">
        <v>13935</v>
      </c>
      <c r="J933" t="s">
        <v>13936</v>
      </c>
      <c r="K933" t="s">
        <v>74</v>
      </c>
      <c r="L933" t="s">
        <v>74</v>
      </c>
      <c r="M933" t="s">
        <v>77</v>
      </c>
      <c r="N933" t="s">
        <v>335</v>
      </c>
      <c r="O933" t="s">
        <v>13937</v>
      </c>
      <c r="P933">
        <v>2004</v>
      </c>
      <c r="Q933" t="s">
        <v>13938</v>
      </c>
      <c r="R933" t="s">
        <v>74</v>
      </c>
      <c r="S933" t="s">
        <v>74</v>
      </c>
      <c r="T933" t="s">
        <v>74</v>
      </c>
      <c r="U933" t="s">
        <v>74</v>
      </c>
      <c r="V933" t="s">
        <v>13939</v>
      </c>
      <c r="W933" t="s">
        <v>13940</v>
      </c>
      <c r="X933" t="s">
        <v>5324</v>
      </c>
      <c r="Y933" t="s">
        <v>13941</v>
      </c>
      <c r="Z933" t="s">
        <v>13942</v>
      </c>
      <c r="AA933" t="s">
        <v>74</v>
      </c>
      <c r="AB933" t="s">
        <v>74</v>
      </c>
      <c r="AC933" t="s">
        <v>74</v>
      </c>
      <c r="AD933" t="s">
        <v>74</v>
      </c>
      <c r="AE933" t="s">
        <v>74</v>
      </c>
      <c r="AF933" t="s">
        <v>74</v>
      </c>
      <c r="AG933">
        <v>6</v>
      </c>
      <c r="AH933">
        <v>3</v>
      </c>
      <c r="AI933">
        <v>5</v>
      </c>
      <c r="AJ933">
        <v>0</v>
      </c>
      <c r="AK933">
        <v>2</v>
      </c>
      <c r="AL933" t="s">
        <v>622</v>
      </c>
      <c r="AM933" t="s">
        <v>140</v>
      </c>
      <c r="AN933" t="s">
        <v>623</v>
      </c>
      <c r="AO933" t="s">
        <v>13943</v>
      </c>
      <c r="AP933" t="s">
        <v>74</v>
      </c>
      <c r="AQ933" t="s">
        <v>74</v>
      </c>
      <c r="AR933" t="s">
        <v>13944</v>
      </c>
      <c r="AS933" t="s">
        <v>13945</v>
      </c>
      <c r="AT933" t="s">
        <v>13946</v>
      </c>
      <c r="AU933">
        <v>2005</v>
      </c>
      <c r="AV933">
        <v>57</v>
      </c>
      <c r="AW933" t="s">
        <v>13947</v>
      </c>
      <c r="AX933" t="s">
        <v>74</v>
      </c>
      <c r="AY933" t="s">
        <v>74</v>
      </c>
      <c r="AZ933" t="s">
        <v>74</v>
      </c>
      <c r="BA933" t="s">
        <v>74</v>
      </c>
      <c r="BB933">
        <v>186</v>
      </c>
      <c r="BC933">
        <v>196</v>
      </c>
      <c r="BD933" t="s">
        <v>74</v>
      </c>
      <c r="BE933" t="s">
        <v>13948</v>
      </c>
      <c r="BF933" t="str">
        <f>HYPERLINK("http://dx.doi.org/10.1016/j.actaastro.2005.03.037","http://dx.doi.org/10.1016/j.actaastro.2005.03.037")</f>
        <v>http://dx.doi.org/10.1016/j.actaastro.2005.03.037</v>
      </c>
      <c r="BG933" t="s">
        <v>74</v>
      </c>
      <c r="BH933" t="s">
        <v>74</v>
      </c>
      <c r="BI933">
        <v>11</v>
      </c>
      <c r="BJ933" t="s">
        <v>13949</v>
      </c>
      <c r="BK933" t="s">
        <v>356</v>
      </c>
      <c r="BL933" t="s">
        <v>509</v>
      </c>
      <c r="BM933" t="s">
        <v>13950</v>
      </c>
      <c r="BN933" t="s">
        <v>74</v>
      </c>
      <c r="BO933" t="s">
        <v>74</v>
      </c>
      <c r="BP933" t="s">
        <v>74</v>
      </c>
      <c r="BQ933" t="s">
        <v>74</v>
      </c>
      <c r="BR933" t="s">
        <v>101</v>
      </c>
      <c r="BS933" t="s">
        <v>13951</v>
      </c>
      <c r="BT933" t="str">
        <f>HYPERLINK("https%3A%2F%2Fwww.webofscience.com%2Fwos%2Fwoscc%2Ffull-record%2FWOS:000230017900017","View Full Record in Web of Science")</f>
        <v>View Full Record in Web of Science</v>
      </c>
    </row>
    <row r="934" spans="1:72" x14ac:dyDescent="0.15">
      <c r="A934" t="s">
        <v>72</v>
      </c>
      <c r="B934" t="s">
        <v>13952</v>
      </c>
      <c r="C934" t="s">
        <v>74</v>
      </c>
      <c r="D934" t="s">
        <v>74</v>
      </c>
      <c r="E934" t="s">
        <v>74</v>
      </c>
      <c r="F934" t="s">
        <v>13952</v>
      </c>
      <c r="G934" t="s">
        <v>74</v>
      </c>
      <c r="H934" t="s">
        <v>74</v>
      </c>
      <c r="I934" t="s">
        <v>13953</v>
      </c>
      <c r="J934" t="s">
        <v>13954</v>
      </c>
      <c r="K934" t="s">
        <v>74</v>
      </c>
      <c r="L934" t="s">
        <v>74</v>
      </c>
      <c r="M934" t="s">
        <v>77</v>
      </c>
      <c r="N934" t="s">
        <v>78</v>
      </c>
      <c r="O934" t="s">
        <v>74</v>
      </c>
      <c r="P934" t="s">
        <v>74</v>
      </c>
      <c r="Q934" t="s">
        <v>74</v>
      </c>
      <c r="R934" t="s">
        <v>74</v>
      </c>
      <c r="S934" t="s">
        <v>74</v>
      </c>
      <c r="T934" t="s">
        <v>13955</v>
      </c>
      <c r="U934" t="s">
        <v>13956</v>
      </c>
      <c r="V934" t="s">
        <v>13957</v>
      </c>
      <c r="W934" t="s">
        <v>10344</v>
      </c>
      <c r="X934" t="s">
        <v>10345</v>
      </c>
      <c r="Y934" t="s">
        <v>13958</v>
      </c>
      <c r="Z934" t="s">
        <v>13959</v>
      </c>
      <c r="AA934" t="s">
        <v>74</v>
      </c>
      <c r="AB934" t="s">
        <v>74</v>
      </c>
      <c r="AC934" t="s">
        <v>74</v>
      </c>
      <c r="AD934" t="s">
        <v>74</v>
      </c>
      <c r="AE934" t="s">
        <v>74</v>
      </c>
      <c r="AF934" t="s">
        <v>74</v>
      </c>
      <c r="AG934">
        <v>58</v>
      </c>
      <c r="AH934">
        <v>23</v>
      </c>
      <c r="AI934">
        <v>25</v>
      </c>
      <c r="AJ934">
        <v>0</v>
      </c>
      <c r="AK934">
        <v>8</v>
      </c>
      <c r="AL934" t="s">
        <v>13960</v>
      </c>
      <c r="AM934" t="s">
        <v>2026</v>
      </c>
      <c r="AN934" t="s">
        <v>13961</v>
      </c>
      <c r="AO934" t="s">
        <v>13962</v>
      </c>
      <c r="AP934" t="s">
        <v>13963</v>
      </c>
      <c r="AQ934" t="s">
        <v>74</v>
      </c>
      <c r="AR934" t="s">
        <v>13964</v>
      </c>
      <c r="AS934" t="s">
        <v>13965</v>
      </c>
      <c r="AT934" t="s">
        <v>13966</v>
      </c>
      <c r="AU934">
        <v>2005</v>
      </c>
      <c r="AV934" t="s">
        <v>13967</v>
      </c>
      <c r="AW934">
        <v>1</v>
      </c>
      <c r="AX934" t="s">
        <v>74</v>
      </c>
      <c r="AY934" t="s">
        <v>74</v>
      </c>
      <c r="AZ934" t="s">
        <v>74</v>
      </c>
      <c r="BA934" t="s">
        <v>74</v>
      </c>
      <c r="BB934">
        <v>600</v>
      </c>
      <c r="BC934">
        <v>609</v>
      </c>
      <c r="BD934" t="s">
        <v>74</v>
      </c>
      <c r="BE934" t="s">
        <v>13968</v>
      </c>
      <c r="BF934" t="str">
        <f>HYPERLINK("http://dx.doi.org/10.1002/ar.a.20203","http://dx.doi.org/10.1002/ar.a.20203")</f>
        <v>http://dx.doi.org/10.1002/ar.a.20203</v>
      </c>
      <c r="BG934" t="s">
        <v>74</v>
      </c>
      <c r="BH934" t="s">
        <v>74</v>
      </c>
      <c r="BI934">
        <v>10</v>
      </c>
      <c r="BJ934" t="s">
        <v>2426</v>
      </c>
      <c r="BK934" t="s">
        <v>98</v>
      </c>
      <c r="BL934" t="s">
        <v>2426</v>
      </c>
      <c r="BM934" t="s">
        <v>13969</v>
      </c>
      <c r="BN934">
        <v>15912523</v>
      </c>
      <c r="BO934" t="s">
        <v>74</v>
      </c>
      <c r="BP934" t="s">
        <v>74</v>
      </c>
      <c r="BQ934" t="s">
        <v>74</v>
      </c>
      <c r="BR934" t="s">
        <v>101</v>
      </c>
      <c r="BS934" t="s">
        <v>13970</v>
      </c>
      <c r="BT934" t="str">
        <f>HYPERLINK("https%3A%2F%2Fwww.webofscience.com%2Fwos%2Fwoscc%2Ffull-record%2FWOS:000230280800002","View Full Record in Web of Science")</f>
        <v>View Full Record in Web of Science</v>
      </c>
    </row>
    <row r="935" spans="1:72" x14ac:dyDescent="0.15">
      <c r="A935" t="s">
        <v>72</v>
      </c>
      <c r="B935" t="s">
        <v>13971</v>
      </c>
      <c r="C935" t="s">
        <v>74</v>
      </c>
      <c r="D935" t="s">
        <v>74</v>
      </c>
      <c r="E935" t="s">
        <v>74</v>
      </c>
      <c r="F935" t="s">
        <v>13971</v>
      </c>
      <c r="G935" t="s">
        <v>74</v>
      </c>
      <c r="H935" t="s">
        <v>74</v>
      </c>
      <c r="I935" t="s">
        <v>13972</v>
      </c>
      <c r="J935" t="s">
        <v>5887</v>
      </c>
      <c r="K935" t="s">
        <v>74</v>
      </c>
      <c r="L935" t="s">
        <v>74</v>
      </c>
      <c r="M935" t="s">
        <v>77</v>
      </c>
      <c r="N935" t="s">
        <v>78</v>
      </c>
      <c r="O935" t="s">
        <v>74</v>
      </c>
      <c r="P935" t="s">
        <v>74</v>
      </c>
      <c r="Q935" t="s">
        <v>74</v>
      </c>
      <c r="R935" t="s">
        <v>74</v>
      </c>
      <c r="S935" t="s">
        <v>74</v>
      </c>
      <c r="T935" t="s">
        <v>74</v>
      </c>
      <c r="U935" t="s">
        <v>13973</v>
      </c>
      <c r="V935" t="s">
        <v>13974</v>
      </c>
      <c r="W935" t="s">
        <v>13975</v>
      </c>
      <c r="X935" t="s">
        <v>13976</v>
      </c>
      <c r="Y935" t="s">
        <v>13977</v>
      </c>
      <c r="Z935" t="s">
        <v>13978</v>
      </c>
      <c r="AA935" t="s">
        <v>13979</v>
      </c>
      <c r="AB935" t="s">
        <v>13980</v>
      </c>
      <c r="AC935" t="s">
        <v>74</v>
      </c>
      <c r="AD935" t="s">
        <v>74</v>
      </c>
      <c r="AE935" t="s">
        <v>74</v>
      </c>
      <c r="AF935" t="s">
        <v>74</v>
      </c>
      <c r="AG935">
        <v>41</v>
      </c>
      <c r="AH935">
        <v>86</v>
      </c>
      <c r="AI935">
        <v>97</v>
      </c>
      <c r="AJ935">
        <v>3</v>
      </c>
      <c r="AK935">
        <v>30</v>
      </c>
      <c r="AL935" t="s">
        <v>2540</v>
      </c>
      <c r="AM935" t="s">
        <v>2541</v>
      </c>
      <c r="AN935" t="s">
        <v>5896</v>
      </c>
      <c r="AO935" t="s">
        <v>5897</v>
      </c>
      <c r="AP935" t="s">
        <v>5898</v>
      </c>
      <c r="AQ935" t="s">
        <v>74</v>
      </c>
      <c r="AR935" t="s">
        <v>5899</v>
      </c>
      <c r="AS935" t="s">
        <v>5900</v>
      </c>
      <c r="AT935" t="s">
        <v>13966</v>
      </c>
      <c r="AU935">
        <v>2005</v>
      </c>
      <c r="AV935">
        <v>71</v>
      </c>
      <c r="AW935">
        <v>7</v>
      </c>
      <c r="AX935" t="s">
        <v>74</v>
      </c>
      <c r="AY935" t="s">
        <v>74</v>
      </c>
      <c r="AZ935" t="s">
        <v>74</v>
      </c>
      <c r="BA935" t="s">
        <v>74</v>
      </c>
      <c r="BB935">
        <v>3519</v>
      </c>
      <c r="BC935">
        <v>3523</v>
      </c>
      <c r="BD935" t="s">
        <v>74</v>
      </c>
      <c r="BE935" t="s">
        <v>13981</v>
      </c>
      <c r="BF935" t="str">
        <f>HYPERLINK("http://dx.doi.org/10.1128/AEM.71.7.3519-3523.2005","http://dx.doi.org/10.1128/AEM.71.7.3519-3523.2005")</f>
        <v>http://dx.doi.org/10.1128/AEM.71.7.3519-3523.2005</v>
      </c>
      <c r="BG935" t="s">
        <v>74</v>
      </c>
      <c r="BH935" t="s">
        <v>74</v>
      </c>
      <c r="BI935">
        <v>5</v>
      </c>
      <c r="BJ935" t="s">
        <v>5902</v>
      </c>
      <c r="BK935" t="s">
        <v>98</v>
      </c>
      <c r="BL935" t="s">
        <v>5902</v>
      </c>
      <c r="BM935" t="s">
        <v>13982</v>
      </c>
      <c r="BN935">
        <v>16000756</v>
      </c>
      <c r="BO935" t="s">
        <v>1925</v>
      </c>
      <c r="BP935" t="s">
        <v>74</v>
      </c>
      <c r="BQ935" t="s">
        <v>74</v>
      </c>
      <c r="BR935" t="s">
        <v>101</v>
      </c>
      <c r="BS935" t="s">
        <v>13983</v>
      </c>
      <c r="BT935" t="str">
        <f>HYPERLINK("https%3A%2F%2Fwww.webofscience.com%2Fwos%2Fwoscc%2Ffull-record%2FWOS:000230445700017","View Full Record in Web of Science")</f>
        <v>View Full Record in Web of Science</v>
      </c>
    </row>
    <row r="936" spans="1:72" x14ac:dyDescent="0.15">
      <c r="A936" t="s">
        <v>72</v>
      </c>
      <c r="B936" t="s">
        <v>13984</v>
      </c>
      <c r="C936" t="s">
        <v>74</v>
      </c>
      <c r="D936" t="s">
        <v>74</v>
      </c>
      <c r="E936" t="s">
        <v>74</v>
      </c>
      <c r="F936" t="s">
        <v>13984</v>
      </c>
      <c r="G936" t="s">
        <v>74</v>
      </c>
      <c r="H936" t="s">
        <v>74</v>
      </c>
      <c r="I936" t="s">
        <v>13985</v>
      </c>
      <c r="J936" t="s">
        <v>13986</v>
      </c>
      <c r="K936" t="s">
        <v>74</v>
      </c>
      <c r="L936" t="s">
        <v>74</v>
      </c>
      <c r="M936" t="s">
        <v>77</v>
      </c>
      <c r="N936" t="s">
        <v>5777</v>
      </c>
      <c r="O936" t="s">
        <v>74</v>
      </c>
      <c r="P936" t="s">
        <v>74</v>
      </c>
      <c r="Q936" t="s">
        <v>74</v>
      </c>
      <c r="R936" t="s">
        <v>74</v>
      </c>
      <c r="S936" t="s">
        <v>74</v>
      </c>
      <c r="T936" t="s">
        <v>74</v>
      </c>
      <c r="U936" t="s">
        <v>13987</v>
      </c>
      <c r="V936" t="s">
        <v>74</v>
      </c>
      <c r="W936" t="s">
        <v>13988</v>
      </c>
      <c r="X936" t="s">
        <v>13989</v>
      </c>
      <c r="Y936" t="s">
        <v>13990</v>
      </c>
      <c r="Z936" t="s">
        <v>13991</v>
      </c>
      <c r="AA936" t="s">
        <v>6652</v>
      </c>
      <c r="AB936" t="s">
        <v>74</v>
      </c>
      <c r="AC936" t="s">
        <v>74</v>
      </c>
      <c r="AD936" t="s">
        <v>74</v>
      </c>
      <c r="AE936" t="s">
        <v>74</v>
      </c>
      <c r="AF936" t="s">
        <v>74</v>
      </c>
      <c r="AG936">
        <v>6</v>
      </c>
      <c r="AH936">
        <v>2</v>
      </c>
      <c r="AI936">
        <v>2</v>
      </c>
      <c r="AJ936">
        <v>1</v>
      </c>
      <c r="AK936">
        <v>3</v>
      </c>
      <c r="AL936" t="s">
        <v>6583</v>
      </c>
      <c r="AM936" t="s">
        <v>6584</v>
      </c>
      <c r="AN936" t="s">
        <v>6585</v>
      </c>
      <c r="AO936" t="s">
        <v>13992</v>
      </c>
      <c r="AP936" t="s">
        <v>13993</v>
      </c>
      <c r="AQ936" t="s">
        <v>74</v>
      </c>
      <c r="AR936" t="s">
        <v>13994</v>
      </c>
      <c r="AS936" t="s">
        <v>13995</v>
      </c>
      <c r="AT936" t="s">
        <v>13966</v>
      </c>
      <c r="AU936">
        <v>2005</v>
      </c>
      <c r="AV936">
        <v>86</v>
      </c>
      <c r="AW936">
        <v>7</v>
      </c>
      <c r="AX936" t="s">
        <v>74</v>
      </c>
      <c r="AY936" t="s">
        <v>74</v>
      </c>
      <c r="AZ936" t="s">
        <v>74</v>
      </c>
      <c r="BA936" t="s">
        <v>74</v>
      </c>
      <c r="BB936">
        <v>983</v>
      </c>
      <c r="BC936">
        <v>988</v>
      </c>
      <c r="BD936" t="s">
        <v>74</v>
      </c>
      <c r="BE936" t="s">
        <v>13996</v>
      </c>
      <c r="BF936" t="str">
        <f>HYPERLINK("http://dx.doi.org/10.1175/BAMS-86-7-983","http://dx.doi.org/10.1175/BAMS-86-7-983")</f>
        <v>http://dx.doi.org/10.1175/BAMS-86-7-983</v>
      </c>
      <c r="BG936" t="s">
        <v>74</v>
      </c>
      <c r="BH936" t="s">
        <v>74</v>
      </c>
      <c r="BI936">
        <v>6</v>
      </c>
      <c r="BJ936" t="s">
        <v>2033</v>
      </c>
      <c r="BK936" t="s">
        <v>98</v>
      </c>
      <c r="BL936" t="s">
        <v>2033</v>
      </c>
      <c r="BM936" t="s">
        <v>13997</v>
      </c>
      <c r="BN936" t="s">
        <v>74</v>
      </c>
      <c r="BO936" t="s">
        <v>74</v>
      </c>
      <c r="BP936" t="s">
        <v>74</v>
      </c>
      <c r="BQ936" t="s">
        <v>74</v>
      </c>
      <c r="BR936" t="s">
        <v>101</v>
      </c>
      <c r="BS936" t="s">
        <v>13998</v>
      </c>
      <c r="BT936" t="str">
        <f>HYPERLINK("https%3A%2F%2Fwww.webofscience.com%2Fwos%2Fwoscc%2Ffull-record%2FWOS:000230584600017","View Full Record in Web of Science")</f>
        <v>View Full Record in Web of Science</v>
      </c>
    </row>
    <row r="937" spans="1:72" x14ac:dyDescent="0.15">
      <c r="A937" t="s">
        <v>72</v>
      </c>
      <c r="B937" t="s">
        <v>13999</v>
      </c>
      <c r="C937" t="s">
        <v>74</v>
      </c>
      <c r="D937" t="s">
        <v>74</v>
      </c>
      <c r="E937" t="s">
        <v>74</v>
      </c>
      <c r="F937" t="s">
        <v>13999</v>
      </c>
      <c r="G937" t="s">
        <v>74</v>
      </c>
      <c r="H937" t="s">
        <v>74</v>
      </c>
      <c r="I937" t="s">
        <v>14000</v>
      </c>
      <c r="J937" t="s">
        <v>14001</v>
      </c>
      <c r="K937" t="s">
        <v>74</v>
      </c>
      <c r="L937" t="s">
        <v>74</v>
      </c>
      <c r="M937" t="s">
        <v>77</v>
      </c>
      <c r="N937" t="s">
        <v>78</v>
      </c>
      <c r="O937" t="s">
        <v>74</v>
      </c>
      <c r="P937" t="s">
        <v>74</v>
      </c>
      <c r="Q937" t="s">
        <v>74</v>
      </c>
      <c r="R937" t="s">
        <v>74</v>
      </c>
      <c r="S937" t="s">
        <v>74</v>
      </c>
      <c r="T937" t="s">
        <v>74</v>
      </c>
      <c r="U937" t="s">
        <v>14002</v>
      </c>
      <c r="V937" t="s">
        <v>14003</v>
      </c>
      <c r="W937" t="s">
        <v>14004</v>
      </c>
      <c r="X937" t="s">
        <v>14005</v>
      </c>
      <c r="Y937" t="s">
        <v>14006</v>
      </c>
      <c r="Z937" t="s">
        <v>14007</v>
      </c>
      <c r="AA937" t="s">
        <v>14008</v>
      </c>
      <c r="AB937" t="s">
        <v>74</v>
      </c>
      <c r="AC937" t="s">
        <v>74</v>
      </c>
      <c r="AD937" t="s">
        <v>74</v>
      </c>
      <c r="AE937" t="s">
        <v>74</v>
      </c>
      <c r="AF937" t="s">
        <v>74</v>
      </c>
      <c r="AG937">
        <v>14</v>
      </c>
      <c r="AH937">
        <v>6</v>
      </c>
      <c r="AI937">
        <v>9</v>
      </c>
      <c r="AJ937">
        <v>0</v>
      </c>
      <c r="AK937">
        <v>4</v>
      </c>
      <c r="AL937" t="s">
        <v>622</v>
      </c>
      <c r="AM937" t="s">
        <v>140</v>
      </c>
      <c r="AN937" t="s">
        <v>623</v>
      </c>
      <c r="AO937" t="s">
        <v>14009</v>
      </c>
      <c r="AP937" t="s">
        <v>74</v>
      </c>
      <c r="AQ937" t="s">
        <v>74</v>
      </c>
      <c r="AR937" t="s">
        <v>14010</v>
      </c>
      <c r="AS937" t="s">
        <v>14011</v>
      </c>
      <c r="AT937" t="s">
        <v>13966</v>
      </c>
      <c r="AU937">
        <v>2005</v>
      </c>
      <c r="AV937">
        <v>25</v>
      </c>
      <c r="AW937">
        <v>1</v>
      </c>
      <c r="AX937" t="s">
        <v>74</v>
      </c>
      <c r="AY937" t="s">
        <v>74</v>
      </c>
      <c r="AZ937" t="s">
        <v>74</v>
      </c>
      <c r="BA937" t="s">
        <v>74</v>
      </c>
      <c r="BB937">
        <v>5</v>
      </c>
      <c r="BC937">
        <v>10</v>
      </c>
      <c r="BD937" t="s">
        <v>74</v>
      </c>
      <c r="BE937" t="s">
        <v>14012</v>
      </c>
      <c r="BF937" t="str">
        <f>HYPERLINK("http://dx.doi.org/10.1016/j.chaos.2004.10.007","http://dx.doi.org/10.1016/j.chaos.2004.10.007")</f>
        <v>http://dx.doi.org/10.1016/j.chaos.2004.10.007</v>
      </c>
      <c r="BG937" t="s">
        <v>74</v>
      </c>
      <c r="BH937" t="s">
        <v>74</v>
      </c>
      <c r="BI937">
        <v>6</v>
      </c>
      <c r="BJ937" t="s">
        <v>14013</v>
      </c>
      <c r="BK937" t="s">
        <v>98</v>
      </c>
      <c r="BL937" t="s">
        <v>14014</v>
      </c>
      <c r="BM937" t="s">
        <v>14015</v>
      </c>
      <c r="BN937" t="s">
        <v>74</v>
      </c>
      <c r="BO937" t="s">
        <v>74</v>
      </c>
      <c r="BP937" t="s">
        <v>74</v>
      </c>
      <c r="BQ937" t="s">
        <v>74</v>
      </c>
      <c r="BR937" t="s">
        <v>101</v>
      </c>
      <c r="BS937" t="s">
        <v>14016</v>
      </c>
      <c r="BT937" t="str">
        <f>HYPERLINK("https%3A%2F%2Fwww.webofscience.com%2Fwos%2Fwoscc%2Ffull-record%2FWOS:000227971900002","View Full Record in Web of Science")</f>
        <v>View Full Record in Web of Science</v>
      </c>
    </row>
    <row r="938" spans="1:72" x14ac:dyDescent="0.15">
      <c r="A938" t="s">
        <v>72</v>
      </c>
      <c r="B938" t="s">
        <v>14017</v>
      </c>
      <c r="C938" t="s">
        <v>74</v>
      </c>
      <c r="D938" t="s">
        <v>74</v>
      </c>
      <c r="E938" t="s">
        <v>74</v>
      </c>
      <c r="F938" t="s">
        <v>14017</v>
      </c>
      <c r="G938" t="s">
        <v>74</v>
      </c>
      <c r="H938" t="s">
        <v>74</v>
      </c>
      <c r="I938" t="s">
        <v>14018</v>
      </c>
      <c r="J938" t="s">
        <v>14019</v>
      </c>
      <c r="K938" t="s">
        <v>74</v>
      </c>
      <c r="L938" t="s">
        <v>74</v>
      </c>
      <c r="M938" t="s">
        <v>77</v>
      </c>
      <c r="N938" t="s">
        <v>78</v>
      </c>
      <c r="O938" t="s">
        <v>74</v>
      </c>
      <c r="P938" t="s">
        <v>74</v>
      </c>
      <c r="Q938" t="s">
        <v>74</v>
      </c>
      <c r="R938" t="s">
        <v>74</v>
      </c>
      <c r="S938" t="s">
        <v>74</v>
      </c>
      <c r="T938" t="s">
        <v>14020</v>
      </c>
      <c r="U938" t="s">
        <v>14021</v>
      </c>
      <c r="V938" t="s">
        <v>14022</v>
      </c>
      <c r="W938" t="s">
        <v>14023</v>
      </c>
      <c r="X938" t="s">
        <v>14024</v>
      </c>
      <c r="Y938" t="s">
        <v>14025</v>
      </c>
      <c r="Z938" t="s">
        <v>14026</v>
      </c>
      <c r="AA938" t="s">
        <v>74</v>
      </c>
      <c r="AB938" t="s">
        <v>74</v>
      </c>
      <c r="AC938" t="s">
        <v>74</v>
      </c>
      <c r="AD938" t="s">
        <v>74</v>
      </c>
      <c r="AE938" t="s">
        <v>74</v>
      </c>
      <c r="AF938" t="s">
        <v>74</v>
      </c>
      <c r="AG938">
        <v>31</v>
      </c>
      <c r="AH938">
        <v>5</v>
      </c>
      <c r="AI938">
        <v>7</v>
      </c>
      <c r="AJ938">
        <v>0</v>
      </c>
      <c r="AK938">
        <v>7</v>
      </c>
      <c r="AL938" t="s">
        <v>14027</v>
      </c>
      <c r="AM938" t="s">
        <v>4217</v>
      </c>
      <c r="AN938" t="s">
        <v>14028</v>
      </c>
      <c r="AO938" t="s">
        <v>14029</v>
      </c>
      <c r="AP938" t="s">
        <v>74</v>
      </c>
      <c r="AQ938" t="s">
        <v>74</v>
      </c>
      <c r="AR938" t="s">
        <v>14030</v>
      </c>
      <c r="AS938" t="s">
        <v>14031</v>
      </c>
      <c r="AT938" t="s">
        <v>13966</v>
      </c>
      <c r="AU938">
        <v>2005</v>
      </c>
      <c r="AV938">
        <v>50</v>
      </c>
      <c r="AW938">
        <v>14</v>
      </c>
      <c r="AX938" t="s">
        <v>74</v>
      </c>
      <c r="AY938" t="s">
        <v>74</v>
      </c>
      <c r="AZ938" t="s">
        <v>74</v>
      </c>
      <c r="BA938" t="s">
        <v>74</v>
      </c>
      <c r="BB938">
        <v>1495</v>
      </c>
      <c r="BC938">
        <v>1502</v>
      </c>
      <c r="BD938" t="s">
        <v>74</v>
      </c>
      <c r="BE938" t="s">
        <v>14032</v>
      </c>
      <c r="BF938" t="str">
        <f>HYPERLINK("http://dx.doi.org/10.1360/04wd0218","http://dx.doi.org/10.1360/04wd0218")</f>
        <v>http://dx.doi.org/10.1360/04wd0218</v>
      </c>
      <c r="BG938" t="s">
        <v>74</v>
      </c>
      <c r="BH938" t="s">
        <v>74</v>
      </c>
      <c r="BI938">
        <v>8</v>
      </c>
      <c r="BJ938" t="s">
        <v>3495</v>
      </c>
      <c r="BK938" t="s">
        <v>98</v>
      </c>
      <c r="BL938" t="s">
        <v>3496</v>
      </c>
      <c r="BM938" t="s">
        <v>14033</v>
      </c>
      <c r="BN938" t="s">
        <v>74</v>
      </c>
      <c r="BO938" t="s">
        <v>74</v>
      </c>
      <c r="BP938" t="s">
        <v>74</v>
      </c>
      <c r="BQ938" t="s">
        <v>74</v>
      </c>
      <c r="BR938" t="s">
        <v>101</v>
      </c>
      <c r="BS938" t="s">
        <v>14034</v>
      </c>
      <c r="BT938" t="str">
        <f>HYPERLINK("https%3A%2F%2Fwww.webofscience.com%2Fwos%2Fwoscc%2Ffull-record%2FWOS:000232195600016","View Full Record in Web of Science")</f>
        <v>View Full Record in Web of Science</v>
      </c>
    </row>
    <row r="939" spans="1:72" x14ac:dyDescent="0.15">
      <c r="A939" t="s">
        <v>72</v>
      </c>
      <c r="B939" t="s">
        <v>14035</v>
      </c>
      <c r="C939" t="s">
        <v>74</v>
      </c>
      <c r="D939" t="s">
        <v>74</v>
      </c>
      <c r="E939" t="s">
        <v>74</v>
      </c>
      <c r="F939" t="s">
        <v>14035</v>
      </c>
      <c r="G939" t="s">
        <v>74</v>
      </c>
      <c r="H939" t="s">
        <v>74</v>
      </c>
      <c r="I939" t="s">
        <v>14036</v>
      </c>
      <c r="J939" t="s">
        <v>14037</v>
      </c>
      <c r="K939" t="s">
        <v>74</v>
      </c>
      <c r="L939" t="s">
        <v>74</v>
      </c>
      <c r="M939" t="s">
        <v>77</v>
      </c>
      <c r="N939" t="s">
        <v>78</v>
      </c>
      <c r="O939" t="s">
        <v>74</v>
      </c>
      <c r="P939" t="s">
        <v>74</v>
      </c>
      <c r="Q939" t="s">
        <v>74</v>
      </c>
      <c r="R939" t="s">
        <v>74</v>
      </c>
      <c r="S939" t="s">
        <v>74</v>
      </c>
      <c r="T939" t="s">
        <v>14038</v>
      </c>
      <c r="U939" t="s">
        <v>14039</v>
      </c>
      <c r="V939" t="s">
        <v>14040</v>
      </c>
      <c r="W939" t="s">
        <v>14041</v>
      </c>
      <c r="X939" t="s">
        <v>11823</v>
      </c>
      <c r="Y939" t="s">
        <v>14042</v>
      </c>
      <c r="Z939" t="s">
        <v>14043</v>
      </c>
      <c r="AA939" t="s">
        <v>74</v>
      </c>
      <c r="AB939" t="s">
        <v>14044</v>
      </c>
      <c r="AC939" t="s">
        <v>74</v>
      </c>
      <c r="AD939" t="s">
        <v>74</v>
      </c>
      <c r="AE939" t="s">
        <v>74</v>
      </c>
      <c r="AF939" t="s">
        <v>74</v>
      </c>
      <c r="AG939">
        <v>17</v>
      </c>
      <c r="AH939">
        <v>23</v>
      </c>
      <c r="AI939">
        <v>25</v>
      </c>
      <c r="AJ939">
        <v>0</v>
      </c>
      <c r="AK939">
        <v>13</v>
      </c>
      <c r="AL939" t="s">
        <v>1147</v>
      </c>
      <c r="AM939" t="s">
        <v>1148</v>
      </c>
      <c r="AN939" t="s">
        <v>1149</v>
      </c>
      <c r="AO939" t="s">
        <v>14045</v>
      </c>
      <c r="AP939" t="s">
        <v>14046</v>
      </c>
      <c r="AQ939" t="s">
        <v>74</v>
      </c>
      <c r="AR939" t="s">
        <v>14047</v>
      </c>
      <c r="AS939" t="s">
        <v>14048</v>
      </c>
      <c r="AT939" t="s">
        <v>13966</v>
      </c>
      <c r="AU939">
        <v>2005</v>
      </c>
      <c r="AV939">
        <v>42</v>
      </c>
      <c r="AW939">
        <v>2</v>
      </c>
      <c r="AX939" t="s">
        <v>74</v>
      </c>
      <c r="AY939" t="s">
        <v>74</v>
      </c>
      <c r="AZ939" t="s">
        <v>74</v>
      </c>
      <c r="BA939" t="s">
        <v>74</v>
      </c>
      <c r="BB939">
        <v>96</v>
      </c>
      <c r="BC939">
        <v>105</v>
      </c>
      <c r="BD939" t="s">
        <v>74</v>
      </c>
      <c r="BE939" t="s">
        <v>14049</v>
      </c>
      <c r="BF939" t="str">
        <f>HYPERLINK("http://dx.doi.org/10.1016/j.coldregions.2004.12.004","http://dx.doi.org/10.1016/j.coldregions.2004.12.004")</f>
        <v>http://dx.doi.org/10.1016/j.coldregions.2004.12.004</v>
      </c>
      <c r="BG939" t="s">
        <v>74</v>
      </c>
      <c r="BH939" t="s">
        <v>74</v>
      </c>
      <c r="BI939">
        <v>10</v>
      </c>
      <c r="BJ939" t="s">
        <v>14050</v>
      </c>
      <c r="BK939" t="s">
        <v>98</v>
      </c>
      <c r="BL939" t="s">
        <v>14051</v>
      </c>
      <c r="BM939" t="s">
        <v>14052</v>
      </c>
      <c r="BN939" t="s">
        <v>74</v>
      </c>
      <c r="BO939" t="s">
        <v>74</v>
      </c>
      <c r="BP939" t="s">
        <v>74</v>
      </c>
      <c r="BQ939" t="s">
        <v>74</v>
      </c>
      <c r="BR939" t="s">
        <v>101</v>
      </c>
      <c r="BS939" t="s">
        <v>14053</v>
      </c>
      <c r="BT939" t="str">
        <f>HYPERLINK("https%3A%2F%2Fwww.webofscience.com%2Fwos%2Fwoscc%2Ffull-record%2FWOS:000230382200002","View Full Record in Web of Science")</f>
        <v>View Full Record in Web of Science</v>
      </c>
    </row>
    <row r="940" spans="1:72" x14ac:dyDescent="0.15">
      <c r="A940" t="s">
        <v>72</v>
      </c>
      <c r="B940" t="s">
        <v>14054</v>
      </c>
      <c r="C940" t="s">
        <v>74</v>
      </c>
      <c r="D940" t="s">
        <v>74</v>
      </c>
      <c r="E940" t="s">
        <v>74</v>
      </c>
      <c r="F940" t="s">
        <v>14055</v>
      </c>
      <c r="G940" t="s">
        <v>74</v>
      </c>
      <c r="H940" t="s">
        <v>74</v>
      </c>
      <c r="I940" t="s">
        <v>14056</v>
      </c>
      <c r="J940" t="s">
        <v>9841</v>
      </c>
      <c r="K940" t="s">
        <v>74</v>
      </c>
      <c r="L940" t="s">
        <v>74</v>
      </c>
      <c r="M940" t="s">
        <v>77</v>
      </c>
      <c r="N940" t="s">
        <v>52</v>
      </c>
      <c r="O940" t="s">
        <v>74</v>
      </c>
      <c r="P940" t="s">
        <v>74</v>
      </c>
      <c r="Q940" t="s">
        <v>74</v>
      </c>
      <c r="R940" t="s">
        <v>74</v>
      </c>
      <c r="S940" t="s">
        <v>74</v>
      </c>
      <c r="T940" t="s">
        <v>14057</v>
      </c>
      <c r="U940" t="s">
        <v>74</v>
      </c>
      <c r="V940" t="s">
        <v>74</v>
      </c>
      <c r="W940" t="s">
        <v>14058</v>
      </c>
      <c r="X940" t="s">
        <v>14059</v>
      </c>
      <c r="Y940" t="s">
        <v>74</v>
      </c>
      <c r="Z940" t="s">
        <v>14060</v>
      </c>
      <c r="AA940" t="s">
        <v>4036</v>
      </c>
      <c r="AB940" t="s">
        <v>14061</v>
      </c>
      <c r="AC940" t="s">
        <v>74</v>
      </c>
      <c r="AD940" t="s">
        <v>74</v>
      </c>
      <c r="AE940" t="s">
        <v>74</v>
      </c>
      <c r="AF940" t="s">
        <v>74</v>
      </c>
      <c r="AG940">
        <v>0</v>
      </c>
      <c r="AH940">
        <v>0</v>
      </c>
      <c r="AI940">
        <v>0</v>
      </c>
      <c r="AJ940">
        <v>0</v>
      </c>
      <c r="AK940">
        <v>0</v>
      </c>
      <c r="AL940" t="s">
        <v>8860</v>
      </c>
      <c r="AM940" t="s">
        <v>89</v>
      </c>
      <c r="AN940" t="s">
        <v>8861</v>
      </c>
      <c r="AO940" t="s">
        <v>9854</v>
      </c>
      <c r="AP940" t="s">
        <v>9855</v>
      </c>
      <c r="AQ940" t="s">
        <v>74</v>
      </c>
      <c r="AR940" t="s">
        <v>9856</v>
      </c>
      <c r="AS940" t="s">
        <v>9857</v>
      </c>
      <c r="AT940" t="s">
        <v>13966</v>
      </c>
      <c r="AU940">
        <v>2005</v>
      </c>
      <c r="AV940">
        <v>141</v>
      </c>
      <c r="AW940">
        <v>3</v>
      </c>
      <c r="AX940" t="s">
        <v>74</v>
      </c>
      <c r="AY940" t="s">
        <v>577</v>
      </c>
      <c r="AZ940" t="s">
        <v>74</v>
      </c>
      <c r="BA940" t="s">
        <v>74</v>
      </c>
      <c r="BB940" t="s">
        <v>14062</v>
      </c>
      <c r="BC940" t="s">
        <v>14062</v>
      </c>
      <c r="BD940" t="s">
        <v>74</v>
      </c>
      <c r="BE940" t="s">
        <v>74</v>
      </c>
      <c r="BF940" t="s">
        <v>74</v>
      </c>
      <c r="BG940" t="s">
        <v>74</v>
      </c>
      <c r="BH940" t="s">
        <v>74</v>
      </c>
      <c r="BI940">
        <v>1</v>
      </c>
      <c r="BJ940" t="s">
        <v>9859</v>
      </c>
      <c r="BK940" t="s">
        <v>98</v>
      </c>
      <c r="BL940" t="s">
        <v>9859</v>
      </c>
      <c r="BM940" t="s">
        <v>14063</v>
      </c>
      <c r="BN940" t="s">
        <v>74</v>
      </c>
      <c r="BO940" t="s">
        <v>74</v>
      </c>
      <c r="BP940" t="s">
        <v>74</v>
      </c>
      <c r="BQ940" t="s">
        <v>74</v>
      </c>
      <c r="BR940" t="s">
        <v>101</v>
      </c>
      <c r="BS940" t="s">
        <v>14064</v>
      </c>
      <c r="BT940" t="str">
        <f>HYPERLINK("https%3A%2F%2Fwww.webofscience.com%2Fwos%2Fwoscc%2Ffull-record%2FWOS:000202991601488","View Full Record in Web of Science")</f>
        <v>View Full Record in Web of Science</v>
      </c>
    </row>
    <row r="941" spans="1:72" x14ac:dyDescent="0.15">
      <c r="A941" t="s">
        <v>72</v>
      </c>
      <c r="B941" t="s">
        <v>14065</v>
      </c>
      <c r="C941" t="s">
        <v>74</v>
      </c>
      <c r="D941" t="s">
        <v>74</v>
      </c>
      <c r="E941" t="s">
        <v>74</v>
      </c>
      <c r="F941" t="s">
        <v>14066</v>
      </c>
      <c r="G941" t="s">
        <v>74</v>
      </c>
      <c r="H941" t="s">
        <v>74</v>
      </c>
      <c r="I941" t="s">
        <v>14067</v>
      </c>
      <c r="J941" t="s">
        <v>9841</v>
      </c>
      <c r="K941" t="s">
        <v>74</v>
      </c>
      <c r="L941" t="s">
        <v>74</v>
      </c>
      <c r="M941" t="s">
        <v>77</v>
      </c>
      <c r="N941" t="s">
        <v>52</v>
      </c>
      <c r="O941" t="s">
        <v>74</v>
      </c>
      <c r="P941" t="s">
        <v>74</v>
      </c>
      <c r="Q941" t="s">
        <v>74</v>
      </c>
      <c r="R941" t="s">
        <v>74</v>
      </c>
      <c r="S941" t="s">
        <v>74</v>
      </c>
      <c r="T941" t="s">
        <v>74</v>
      </c>
      <c r="U941" t="s">
        <v>74</v>
      </c>
      <c r="V941" t="s">
        <v>74</v>
      </c>
      <c r="W941" t="s">
        <v>14068</v>
      </c>
      <c r="X941" t="s">
        <v>14069</v>
      </c>
      <c r="Y941" t="s">
        <v>74</v>
      </c>
      <c r="Z941" t="s">
        <v>74</v>
      </c>
      <c r="AA941" t="s">
        <v>14070</v>
      </c>
      <c r="AB941" t="s">
        <v>74</v>
      </c>
      <c r="AC941" t="s">
        <v>74</v>
      </c>
      <c r="AD941" t="s">
        <v>74</v>
      </c>
      <c r="AE941" t="s">
        <v>74</v>
      </c>
      <c r="AF941" t="s">
        <v>74</v>
      </c>
      <c r="AG941">
        <v>0</v>
      </c>
      <c r="AH941">
        <v>0</v>
      </c>
      <c r="AI941">
        <v>0</v>
      </c>
      <c r="AJ941">
        <v>0</v>
      </c>
      <c r="AK941">
        <v>1</v>
      </c>
      <c r="AL941" t="s">
        <v>8860</v>
      </c>
      <c r="AM941" t="s">
        <v>89</v>
      </c>
      <c r="AN941" t="s">
        <v>8861</v>
      </c>
      <c r="AO941" t="s">
        <v>9854</v>
      </c>
      <c r="AP941" t="s">
        <v>74</v>
      </c>
      <c r="AQ941" t="s">
        <v>74</v>
      </c>
      <c r="AR941" t="s">
        <v>9856</v>
      </c>
      <c r="AS941" t="s">
        <v>9857</v>
      </c>
      <c r="AT941" t="s">
        <v>13966</v>
      </c>
      <c r="AU941">
        <v>2005</v>
      </c>
      <c r="AV941">
        <v>141</v>
      </c>
      <c r="AW941">
        <v>3</v>
      </c>
      <c r="AX941" t="s">
        <v>74</v>
      </c>
      <c r="AY941" t="s">
        <v>577</v>
      </c>
      <c r="AZ941" t="s">
        <v>74</v>
      </c>
      <c r="BA941" t="s">
        <v>74</v>
      </c>
      <c r="BB941" t="s">
        <v>14071</v>
      </c>
      <c r="BC941" t="s">
        <v>14072</v>
      </c>
      <c r="BD941" t="s">
        <v>74</v>
      </c>
      <c r="BE941" t="s">
        <v>74</v>
      </c>
      <c r="BF941" t="s">
        <v>74</v>
      </c>
      <c r="BG941" t="s">
        <v>74</v>
      </c>
      <c r="BH941" t="s">
        <v>74</v>
      </c>
      <c r="BI941">
        <v>2</v>
      </c>
      <c r="BJ941" t="s">
        <v>9859</v>
      </c>
      <c r="BK941" t="s">
        <v>98</v>
      </c>
      <c r="BL941" t="s">
        <v>9859</v>
      </c>
      <c r="BM941" t="s">
        <v>14063</v>
      </c>
      <c r="BN941" t="s">
        <v>74</v>
      </c>
      <c r="BO941" t="s">
        <v>74</v>
      </c>
      <c r="BP941" t="s">
        <v>74</v>
      </c>
      <c r="BQ941" t="s">
        <v>74</v>
      </c>
      <c r="BR941" t="s">
        <v>101</v>
      </c>
      <c r="BS941" t="s">
        <v>14073</v>
      </c>
      <c r="BT941" t="str">
        <f>HYPERLINK("https%3A%2F%2Fwww.webofscience.com%2Fwos%2Fwoscc%2Ffull-record%2FWOS:000202991601038","View Full Record in Web of Science")</f>
        <v>View Full Record in Web of Science</v>
      </c>
    </row>
    <row r="942" spans="1:72" x14ac:dyDescent="0.15">
      <c r="A942" t="s">
        <v>72</v>
      </c>
      <c r="B942" t="s">
        <v>14074</v>
      </c>
      <c r="C942" t="s">
        <v>74</v>
      </c>
      <c r="D942" t="s">
        <v>74</v>
      </c>
      <c r="E942" t="s">
        <v>74</v>
      </c>
      <c r="F942" t="s">
        <v>14075</v>
      </c>
      <c r="G942" t="s">
        <v>74</v>
      </c>
      <c r="H942" t="s">
        <v>74</v>
      </c>
      <c r="I942" t="s">
        <v>14076</v>
      </c>
      <c r="J942" t="s">
        <v>9841</v>
      </c>
      <c r="K942" t="s">
        <v>74</v>
      </c>
      <c r="L942" t="s">
        <v>74</v>
      </c>
      <c r="M942" t="s">
        <v>77</v>
      </c>
      <c r="N942" t="s">
        <v>52</v>
      </c>
      <c r="O942" t="s">
        <v>74</v>
      </c>
      <c r="P942" t="s">
        <v>74</v>
      </c>
      <c r="Q942" t="s">
        <v>74</v>
      </c>
      <c r="R942" t="s">
        <v>74</v>
      </c>
      <c r="S942" t="s">
        <v>74</v>
      </c>
      <c r="T942" t="s">
        <v>14077</v>
      </c>
      <c r="U942" t="s">
        <v>74</v>
      </c>
      <c r="V942" t="s">
        <v>74</v>
      </c>
      <c r="W942" t="s">
        <v>14078</v>
      </c>
      <c r="X942" t="s">
        <v>426</v>
      </c>
      <c r="Y942" t="s">
        <v>74</v>
      </c>
      <c r="Z942" t="s">
        <v>14079</v>
      </c>
      <c r="AA942" t="s">
        <v>14080</v>
      </c>
      <c r="AB942" t="s">
        <v>14081</v>
      </c>
      <c r="AC942" t="s">
        <v>74</v>
      </c>
      <c r="AD942" t="s">
        <v>74</v>
      </c>
      <c r="AE942" t="s">
        <v>74</v>
      </c>
      <c r="AF942" t="s">
        <v>74</v>
      </c>
      <c r="AG942">
        <v>1</v>
      </c>
      <c r="AH942">
        <v>0</v>
      </c>
      <c r="AI942">
        <v>0</v>
      </c>
      <c r="AJ942">
        <v>0</v>
      </c>
      <c r="AK942">
        <v>4</v>
      </c>
      <c r="AL942" t="s">
        <v>8860</v>
      </c>
      <c r="AM942" t="s">
        <v>89</v>
      </c>
      <c r="AN942" t="s">
        <v>8861</v>
      </c>
      <c r="AO942" t="s">
        <v>9854</v>
      </c>
      <c r="AP942" t="s">
        <v>74</v>
      </c>
      <c r="AQ942" t="s">
        <v>74</v>
      </c>
      <c r="AR942" t="s">
        <v>9856</v>
      </c>
      <c r="AS942" t="s">
        <v>9857</v>
      </c>
      <c r="AT942" t="s">
        <v>13966</v>
      </c>
      <c r="AU942">
        <v>2005</v>
      </c>
      <c r="AV942">
        <v>141</v>
      </c>
      <c r="AW942">
        <v>3</v>
      </c>
      <c r="AX942" t="s">
        <v>74</v>
      </c>
      <c r="AY942" t="s">
        <v>577</v>
      </c>
      <c r="AZ942" t="s">
        <v>74</v>
      </c>
      <c r="BA942" t="s">
        <v>74</v>
      </c>
      <c r="BB942" t="s">
        <v>14082</v>
      </c>
      <c r="BC942" t="s">
        <v>14082</v>
      </c>
      <c r="BD942" t="s">
        <v>74</v>
      </c>
      <c r="BE942" t="s">
        <v>74</v>
      </c>
      <c r="BF942" t="s">
        <v>74</v>
      </c>
      <c r="BG942" t="s">
        <v>74</v>
      </c>
      <c r="BH942" t="s">
        <v>74</v>
      </c>
      <c r="BI942">
        <v>1</v>
      </c>
      <c r="BJ942" t="s">
        <v>9859</v>
      </c>
      <c r="BK942" t="s">
        <v>98</v>
      </c>
      <c r="BL942" t="s">
        <v>9859</v>
      </c>
      <c r="BM942" t="s">
        <v>14063</v>
      </c>
      <c r="BN942" t="s">
        <v>74</v>
      </c>
      <c r="BO942" t="s">
        <v>74</v>
      </c>
      <c r="BP942" t="s">
        <v>74</v>
      </c>
      <c r="BQ942" t="s">
        <v>74</v>
      </c>
      <c r="BR942" t="s">
        <v>101</v>
      </c>
      <c r="BS942" t="s">
        <v>14083</v>
      </c>
      <c r="BT942" t="str">
        <f>HYPERLINK("https%3A%2F%2Fwww.webofscience.com%2Fwos%2Fwoscc%2Ffull-record%2FWOS:000202991601033","View Full Record in Web of Science")</f>
        <v>View Full Record in Web of Science</v>
      </c>
    </row>
    <row r="943" spans="1:72" x14ac:dyDescent="0.15">
      <c r="A943" t="s">
        <v>72</v>
      </c>
      <c r="B943" t="s">
        <v>14084</v>
      </c>
      <c r="C943" t="s">
        <v>74</v>
      </c>
      <c r="D943" t="s">
        <v>74</v>
      </c>
      <c r="E943" t="s">
        <v>74</v>
      </c>
      <c r="F943" t="s">
        <v>14085</v>
      </c>
      <c r="G943" t="s">
        <v>74</v>
      </c>
      <c r="H943" t="s">
        <v>74</v>
      </c>
      <c r="I943" t="s">
        <v>14086</v>
      </c>
      <c r="J943" t="s">
        <v>9841</v>
      </c>
      <c r="K943" t="s">
        <v>74</v>
      </c>
      <c r="L943" t="s">
        <v>74</v>
      </c>
      <c r="M943" t="s">
        <v>77</v>
      </c>
      <c r="N943" t="s">
        <v>52</v>
      </c>
      <c r="O943" t="s">
        <v>74</v>
      </c>
      <c r="P943" t="s">
        <v>74</v>
      </c>
      <c r="Q943" t="s">
        <v>74</v>
      </c>
      <c r="R943" t="s">
        <v>74</v>
      </c>
      <c r="S943" t="s">
        <v>74</v>
      </c>
      <c r="T943" t="s">
        <v>14087</v>
      </c>
      <c r="U943" t="s">
        <v>74</v>
      </c>
      <c r="V943" t="s">
        <v>74</v>
      </c>
      <c r="W943" t="s">
        <v>14088</v>
      </c>
      <c r="X943" t="s">
        <v>426</v>
      </c>
      <c r="Y943" t="s">
        <v>74</v>
      </c>
      <c r="Z943" t="s">
        <v>997</v>
      </c>
      <c r="AA943" t="s">
        <v>14089</v>
      </c>
      <c r="AB943" t="s">
        <v>14090</v>
      </c>
      <c r="AC943" t="s">
        <v>74</v>
      </c>
      <c r="AD943" t="s">
        <v>74</v>
      </c>
      <c r="AE943" t="s">
        <v>74</v>
      </c>
      <c r="AF943" t="s">
        <v>74</v>
      </c>
      <c r="AG943">
        <v>0</v>
      </c>
      <c r="AH943">
        <v>0</v>
      </c>
      <c r="AI943">
        <v>0</v>
      </c>
      <c r="AJ943">
        <v>0</v>
      </c>
      <c r="AK943">
        <v>4</v>
      </c>
      <c r="AL943" t="s">
        <v>8860</v>
      </c>
      <c r="AM943" t="s">
        <v>89</v>
      </c>
      <c r="AN943" t="s">
        <v>8861</v>
      </c>
      <c r="AO943" t="s">
        <v>9854</v>
      </c>
      <c r="AP943" t="s">
        <v>74</v>
      </c>
      <c r="AQ943" t="s">
        <v>74</v>
      </c>
      <c r="AR943" t="s">
        <v>9856</v>
      </c>
      <c r="AS943" t="s">
        <v>9857</v>
      </c>
      <c r="AT943" t="s">
        <v>13966</v>
      </c>
      <c r="AU943">
        <v>2005</v>
      </c>
      <c r="AV943">
        <v>141</v>
      </c>
      <c r="AW943">
        <v>3</v>
      </c>
      <c r="AX943" t="s">
        <v>74</v>
      </c>
      <c r="AY943" t="s">
        <v>577</v>
      </c>
      <c r="AZ943" t="s">
        <v>74</v>
      </c>
      <c r="BA943" t="s">
        <v>74</v>
      </c>
      <c r="BB943" t="s">
        <v>14091</v>
      </c>
      <c r="BC943" t="s">
        <v>14091</v>
      </c>
      <c r="BD943" t="s">
        <v>74</v>
      </c>
      <c r="BE943" t="s">
        <v>74</v>
      </c>
      <c r="BF943" t="s">
        <v>74</v>
      </c>
      <c r="BG943" t="s">
        <v>74</v>
      </c>
      <c r="BH943" t="s">
        <v>74</v>
      </c>
      <c r="BI943">
        <v>1</v>
      </c>
      <c r="BJ943" t="s">
        <v>9859</v>
      </c>
      <c r="BK943" t="s">
        <v>98</v>
      </c>
      <c r="BL943" t="s">
        <v>9859</v>
      </c>
      <c r="BM943" t="s">
        <v>14063</v>
      </c>
      <c r="BN943" t="s">
        <v>74</v>
      </c>
      <c r="BO943" t="s">
        <v>74</v>
      </c>
      <c r="BP943" t="s">
        <v>74</v>
      </c>
      <c r="BQ943" t="s">
        <v>74</v>
      </c>
      <c r="BR943" t="s">
        <v>101</v>
      </c>
      <c r="BS943" t="s">
        <v>14092</v>
      </c>
      <c r="BT943" t="str">
        <f>HYPERLINK("https%3A%2F%2Fwww.webofscience.com%2Fwos%2Fwoscc%2Ffull-record%2FWOS:000202991601537","View Full Record in Web of Science")</f>
        <v>View Full Record in Web of Science</v>
      </c>
    </row>
    <row r="944" spans="1:72" x14ac:dyDescent="0.15">
      <c r="A944" t="s">
        <v>72</v>
      </c>
      <c r="B944" t="s">
        <v>14093</v>
      </c>
      <c r="C944" t="s">
        <v>74</v>
      </c>
      <c r="D944" t="s">
        <v>74</v>
      </c>
      <c r="E944" t="s">
        <v>74</v>
      </c>
      <c r="F944" t="s">
        <v>14094</v>
      </c>
      <c r="G944" t="s">
        <v>74</v>
      </c>
      <c r="H944" t="s">
        <v>74</v>
      </c>
      <c r="I944" t="s">
        <v>14095</v>
      </c>
      <c r="J944" t="s">
        <v>9841</v>
      </c>
      <c r="K944" t="s">
        <v>74</v>
      </c>
      <c r="L944" t="s">
        <v>74</v>
      </c>
      <c r="M944" t="s">
        <v>77</v>
      </c>
      <c r="N944" t="s">
        <v>52</v>
      </c>
      <c r="O944" t="s">
        <v>74</v>
      </c>
      <c r="P944" t="s">
        <v>74</v>
      </c>
      <c r="Q944" t="s">
        <v>74</v>
      </c>
      <c r="R944" t="s">
        <v>74</v>
      </c>
      <c r="S944" t="s">
        <v>74</v>
      </c>
      <c r="T944" t="s">
        <v>14096</v>
      </c>
      <c r="U944" t="s">
        <v>74</v>
      </c>
      <c r="V944" t="s">
        <v>74</v>
      </c>
      <c r="W944" t="s">
        <v>14097</v>
      </c>
      <c r="X944" t="s">
        <v>788</v>
      </c>
      <c r="Y944" t="s">
        <v>74</v>
      </c>
      <c r="Z944" t="s">
        <v>733</v>
      </c>
      <c r="AA944" t="s">
        <v>74</v>
      </c>
      <c r="AB944" t="s">
        <v>74</v>
      </c>
      <c r="AC944" t="s">
        <v>74</v>
      </c>
      <c r="AD944" t="s">
        <v>74</v>
      </c>
      <c r="AE944" t="s">
        <v>74</v>
      </c>
      <c r="AF944" t="s">
        <v>74</v>
      </c>
      <c r="AG944">
        <v>0</v>
      </c>
      <c r="AH944">
        <v>0</v>
      </c>
      <c r="AI944">
        <v>0</v>
      </c>
      <c r="AJ944">
        <v>0</v>
      </c>
      <c r="AK944">
        <v>4</v>
      </c>
      <c r="AL944" t="s">
        <v>8860</v>
      </c>
      <c r="AM944" t="s">
        <v>89</v>
      </c>
      <c r="AN944" t="s">
        <v>8861</v>
      </c>
      <c r="AO944" t="s">
        <v>9854</v>
      </c>
      <c r="AP944" t="s">
        <v>9855</v>
      </c>
      <c r="AQ944" t="s">
        <v>74</v>
      </c>
      <c r="AR944" t="s">
        <v>9856</v>
      </c>
      <c r="AS944" t="s">
        <v>9857</v>
      </c>
      <c r="AT944" t="s">
        <v>13966</v>
      </c>
      <c r="AU944">
        <v>2005</v>
      </c>
      <c r="AV944">
        <v>141</v>
      </c>
      <c r="AW944">
        <v>3</v>
      </c>
      <c r="AX944" t="s">
        <v>74</v>
      </c>
      <c r="AY944" t="s">
        <v>577</v>
      </c>
      <c r="AZ944" t="s">
        <v>74</v>
      </c>
      <c r="BA944" t="s">
        <v>74</v>
      </c>
      <c r="BB944" t="s">
        <v>14098</v>
      </c>
      <c r="BC944" t="s">
        <v>14098</v>
      </c>
      <c r="BD944" t="s">
        <v>74</v>
      </c>
      <c r="BE944" t="s">
        <v>74</v>
      </c>
      <c r="BF944" t="s">
        <v>74</v>
      </c>
      <c r="BG944" t="s">
        <v>74</v>
      </c>
      <c r="BH944" t="s">
        <v>74</v>
      </c>
      <c r="BI944">
        <v>1</v>
      </c>
      <c r="BJ944" t="s">
        <v>9859</v>
      </c>
      <c r="BK944" t="s">
        <v>98</v>
      </c>
      <c r="BL944" t="s">
        <v>9859</v>
      </c>
      <c r="BM944" t="s">
        <v>14063</v>
      </c>
      <c r="BN944" t="s">
        <v>74</v>
      </c>
      <c r="BO944" t="s">
        <v>74</v>
      </c>
      <c r="BP944" t="s">
        <v>74</v>
      </c>
      <c r="BQ944" t="s">
        <v>74</v>
      </c>
      <c r="BR944" t="s">
        <v>101</v>
      </c>
      <c r="BS944" t="s">
        <v>14099</v>
      </c>
      <c r="BT944" t="str">
        <f>HYPERLINK("https%3A%2F%2Fwww.webofscience.com%2Fwos%2Fwoscc%2Ffull-record%2FWOS:000202991601482","View Full Record in Web of Science")</f>
        <v>View Full Record in Web of Science</v>
      </c>
    </row>
    <row r="945" spans="1:72" x14ac:dyDescent="0.15">
      <c r="A945" t="s">
        <v>72</v>
      </c>
      <c r="B945" t="s">
        <v>14100</v>
      </c>
      <c r="C945" t="s">
        <v>74</v>
      </c>
      <c r="D945" t="s">
        <v>74</v>
      </c>
      <c r="E945" t="s">
        <v>74</v>
      </c>
      <c r="F945" t="s">
        <v>14101</v>
      </c>
      <c r="G945" t="s">
        <v>74</v>
      </c>
      <c r="H945" t="s">
        <v>74</v>
      </c>
      <c r="I945" t="s">
        <v>14102</v>
      </c>
      <c r="J945" t="s">
        <v>9841</v>
      </c>
      <c r="K945" t="s">
        <v>74</v>
      </c>
      <c r="L945" t="s">
        <v>74</v>
      </c>
      <c r="M945" t="s">
        <v>77</v>
      </c>
      <c r="N945" t="s">
        <v>52</v>
      </c>
      <c r="O945" t="s">
        <v>74</v>
      </c>
      <c r="P945" t="s">
        <v>74</v>
      </c>
      <c r="Q945" t="s">
        <v>74</v>
      </c>
      <c r="R945" t="s">
        <v>74</v>
      </c>
      <c r="S945" t="s">
        <v>74</v>
      </c>
      <c r="T945" t="s">
        <v>14103</v>
      </c>
      <c r="U945" t="s">
        <v>74</v>
      </c>
      <c r="V945" t="s">
        <v>74</v>
      </c>
      <c r="W945" t="s">
        <v>14104</v>
      </c>
      <c r="X945" t="s">
        <v>14105</v>
      </c>
      <c r="Y945" t="s">
        <v>74</v>
      </c>
      <c r="Z945" t="s">
        <v>74</v>
      </c>
      <c r="AA945" t="s">
        <v>14106</v>
      </c>
      <c r="AB945" t="s">
        <v>74</v>
      </c>
      <c r="AC945" t="s">
        <v>74</v>
      </c>
      <c r="AD945" t="s">
        <v>74</v>
      </c>
      <c r="AE945" t="s">
        <v>74</v>
      </c>
      <c r="AF945" t="s">
        <v>74</v>
      </c>
      <c r="AG945">
        <v>0</v>
      </c>
      <c r="AH945">
        <v>0</v>
      </c>
      <c r="AI945">
        <v>0</v>
      </c>
      <c r="AJ945">
        <v>0</v>
      </c>
      <c r="AK945">
        <v>7</v>
      </c>
      <c r="AL945" t="s">
        <v>8860</v>
      </c>
      <c r="AM945" t="s">
        <v>89</v>
      </c>
      <c r="AN945" t="s">
        <v>8861</v>
      </c>
      <c r="AO945" t="s">
        <v>9854</v>
      </c>
      <c r="AP945" t="s">
        <v>74</v>
      </c>
      <c r="AQ945" t="s">
        <v>74</v>
      </c>
      <c r="AR945" t="s">
        <v>9856</v>
      </c>
      <c r="AS945" t="s">
        <v>9857</v>
      </c>
      <c r="AT945" t="s">
        <v>13966</v>
      </c>
      <c r="AU945">
        <v>2005</v>
      </c>
      <c r="AV945">
        <v>141</v>
      </c>
      <c r="AW945">
        <v>3</v>
      </c>
      <c r="AX945" t="s">
        <v>74</v>
      </c>
      <c r="AY945" t="s">
        <v>577</v>
      </c>
      <c r="AZ945" t="s">
        <v>74</v>
      </c>
      <c r="BA945" t="s">
        <v>74</v>
      </c>
      <c r="BB945" t="s">
        <v>14071</v>
      </c>
      <c r="BC945" t="s">
        <v>14071</v>
      </c>
      <c r="BD945" t="s">
        <v>74</v>
      </c>
      <c r="BE945" t="s">
        <v>74</v>
      </c>
      <c r="BF945" t="s">
        <v>74</v>
      </c>
      <c r="BG945" t="s">
        <v>74</v>
      </c>
      <c r="BH945" t="s">
        <v>74</v>
      </c>
      <c r="BI945">
        <v>1</v>
      </c>
      <c r="BJ945" t="s">
        <v>9859</v>
      </c>
      <c r="BK945" t="s">
        <v>98</v>
      </c>
      <c r="BL945" t="s">
        <v>9859</v>
      </c>
      <c r="BM945" t="s">
        <v>14063</v>
      </c>
      <c r="BN945" t="s">
        <v>74</v>
      </c>
      <c r="BO945" t="s">
        <v>74</v>
      </c>
      <c r="BP945" t="s">
        <v>74</v>
      </c>
      <c r="BQ945" t="s">
        <v>74</v>
      </c>
      <c r="BR945" t="s">
        <v>101</v>
      </c>
      <c r="BS945" t="s">
        <v>14107</v>
      </c>
      <c r="BT945" t="str">
        <f>HYPERLINK("https%3A%2F%2Fwww.webofscience.com%2Fwos%2Fwoscc%2Ffull-record%2FWOS:000202991601036","View Full Record in Web of Science")</f>
        <v>View Full Record in Web of Science</v>
      </c>
    </row>
    <row r="946" spans="1:72" x14ac:dyDescent="0.15">
      <c r="A946" t="s">
        <v>72</v>
      </c>
      <c r="B946" t="s">
        <v>10373</v>
      </c>
      <c r="C946" t="s">
        <v>74</v>
      </c>
      <c r="D946" t="s">
        <v>74</v>
      </c>
      <c r="E946" t="s">
        <v>74</v>
      </c>
      <c r="F946" t="s">
        <v>14108</v>
      </c>
      <c r="G946" t="s">
        <v>74</v>
      </c>
      <c r="H946" t="s">
        <v>74</v>
      </c>
      <c r="I946" t="s">
        <v>14109</v>
      </c>
      <c r="J946" t="s">
        <v>9841</v>
      </c>
      <c r="K946" t="s">
        <v>74</v>
      </c>
      <c r="L946" t="s">
        <v>74</v>
      </c>
      <c r="M946" t="s">
        <v>77</v>
      </c>
      <c r="N946" t="s">
        <v>52</v>
      </c>
      <c r="O946" t="s">
        <v>74</v>
      </c>
      <c r="P946" t="s">
        <v>74</v>
      </c>
      <c r="Q946" t="s">
        <v>74</v>
      </c>
      <c r="R946" t="s">
        <v>74</v>
      </c>
      <c r="S946" t="s">
        <v>74</v>
      </c>
      <c r="T946" t="s">
        <v>74</v>
      </c>
      <c r="U946" t="s">
        <v>74</v>
      </c>
      <c r="V946" t="s">
        <v>74</v>
      </c>
      <c r="W946" t="s">
        <v>74</v>
      </c>
      <c r="X946" t="s">
        <v>74</v>
      </c>
      <c r="Y946" t="s">
        <v>74</v>
      </c>
      <c r="Z946" t="s">
        <v>74</v>
      </c>
      <c r="AA946" t="s">
        <v>74</v>
      </c>
      <c r="AB946" t="s">
        <v>74</v>
      </c>
      <c r="AC946" t="s">
        <v>74</v>
      </c>
      <c r="AD946" t="s">
        <v>74</v>
      </c>
      <c r="AE946" t="s">
        <v>74</v>
      </c>
      <c r="AF946" t="s">
        <v>74</v>
      </c>
      <c r="AG946">
        <v>0</v>
      </c>
      <c r="AH946">
        <v>0</v>
      </c>
      <c r="AI946">
        <v>0</v>
      </c>
      <c r="AJ946">
        <v>0</v>
      </c>
      <c r="AK946">
        <v>1</v>
      </c>
      <c r="AL946" t="s">
        <v>8860</v>
      </c>
      <c r="AM946" t="s">
        <v>89</v>
      </c>
      <c r="AN946" t="s">
        <v>8861</v>
      </c>
      <c r="AO946" t="s">
        <v>9854</v>
      </c>
      <c r="AP946" t="s">
        <v>74</v>
      </c>
      <c r="AQ946" t="s">
        <v>74</v>
      </c>
      <c r="AR946" t="s">
        <v>9856</v>
      </c>
      <c r="AS946" t="s">
        <v>9857</v>
      </c>
      <c r="AT946" t="s">
        <v>13966</v>
      </c>
      <c r="AU946">
        <v>2005</v>
      </c>
      <c r="AV946">
        <v>141</v>
      </c>
      <c r="AW946">
        <v>3</v>
      </c>
      <c r="AX946" t="s">
        <v>74</v>
      </c>
      <c r="AY946" t="s">
        <v>577</v>
      </c>
      <c r="AZ946" t="s">
        <v>74</v>
      </c>
      <c r="BA946" t="s">
        <v>74</v>
      </c>
      <c r="BB946" t="s">
        <v>14110</v>
      </c>
      <c r="BC946" t="s">
        <v>14111</v>
      </c>
      <c r="BD946" t="s">
        <v>74</v>
      </c>
      <c r="BE946" t="s">
        <v>74</v>
      </c>
      <c r="BF946" t="s">
        <v>74</v>
      </c>
      <c r="BG946" t="s">
        <v>74</v>
      </c>
      <c r="BH946" t="s">
        <v>74</v>
      </c>
      <c r="BI946">
        <v>2</v>
      </c>
      <c r="BJ946" t="s">
        <v>9859</v>
      </c>
      <c r="BK946" t="s">
        <v>98</v>
      </c>
      <c r="BL946" t="s">
        <v>9859</v>
      </c>
      <c r="BM946" t="s">
        <v>14063</v>
      </c>
      <c r="BN946" t="s">
        <v>74</v>
      </c>
      <c r="BO946" t="s">
        <v>74</v>
      </c>
      <c r="BP946" t="s">
        <v>74</v>
      </c>
      <c r="BQ946" t="s">
        <v>74</v>
      </c>
      <c r="BR946" t="s">
        <v>101</v>
      </c>
      <c r="BS946" t="s">
        <v>14112</v>
      </c>
      <c r="BT946" t="str">
        <f>HYPERLINK("https%3A%2F%2Fwww.webofscience.com%2Fwos%2Fwoscc%2Ffull-record%2FWOS:000202991601578","View Full Record in Web of Science")</f>
        <v>View Full Record in Web of Science</v>
      </c>
    </row>
    <row r="947" spans="1:72" x14ac:dyDescent="0.15">
      <c r="A947" t="s">
        <v>72</v>
      </c>
      <c r="B947" t="s">
        <v>14113</v>
      </c>
      <c r="C947" t="s">
        <v>74</v>
      </c>
      <c r="D947" t="s">
        <v>74</v>
      </c>
      <c r="E947" t="s">
        <v>74</v>
      </c>
      <c r="F947" t="s">
        <v>14114</v>
      </c>
      <c r="G947" t="s">
        <v>74</v>
      </c>
      <c r="H947" t="s">
        <v>74</v>
      </c>
      <c r="I947" t="s">
        <v>14109</v>
      </c>
      <c r="J947" t="s">
        <v>9841</v>
      </c>
      <c r="K947" t="s">
        <v>74</v>
      </c>
      <c r="L947" t="s">
        <v>74</v>
      </c>
      <c r="M947" t="s">
        <v>77</v>
      </c>
      <c r="N947" t="s">
        <v>52</v>
      </c>
      <c r="O947" t="s">
        <v>74</v>
      </c>
      <c r="P947" t="s">
        <v>74</v>
      </c>
      <c r="Q947" t="s">
        <v>74</v>
      </c>
      <c r="R947" t="s">
        <v>74</v>
      </c>
      <c r="S947" t="s">
        <v>74</v>
      </c>
      <c r="T947" t="s">
        <v>74</v>
      </c>
      <c r="U947" t="s">
        <v>74</v>
      </c>
      <c r="V947" t="s">
        <v>74</v>
      </c>
      <c r="W947" t="s">
        <v>14115</v>
      </c>
      <c r="X947" t="s">
        <v>426</v>
      </c>
      <c r="Y947" t="s">
        <v>74</v>
      </c>
      <c r="Z947" t="s">
        <v>10379</v>
      </c>
      <c r="AA947" t="s">
        <v>14116</v>
      </c>
      <c r="AB947" t="s">
        <v>14117</v>
      </c>
      <c r="AC947" t="s">
        <v>74</v>
      </c>
      <c r="AD947" t="s">
        <v>74</v>
      </c>
      <c r="AE947" t="s">
        <v>74</v>
      </c>
      <c r="AF947" t="s">
        <v>74</v>
      </c>
      <c r="AG947">
        <v>0</v>
      </c>
      <c r="AH947">
        <v>0</v>
      </c>
      <c r="AI947">
        <v>0</v>
      </c>
      <c r="AJ947">
        <v>0</v>
      </c>
      <c r="AK947">
        <v>1</v>
      </c>
      <c r="AL947" t="s">
        <v>8860</v>
      </c>
      <c r="AM947" t="s">
        <v>89</v>
      </c>
      <c r="AN947" t="s">
        <v>8861</v>
      </c>
      <c r="AO947" t="s">
        <v>9854</v>
      </c>
      <c r="AP947" t="s">
        <v>74</v>
      </c>
      <c r="AQ947" t="s">
        <v>74</v>
      </c>
      <c r="AR947" t="s">
        <v>9856</v>
      </c>
      <c r="AS947" t="s">
        <v>9857</v>
      </c>
      <c r="AT947" t="s">
        <v>13966</v>
      </c>
      <c r="AU947">
        <v>2005</v>
      </c>
      <c r="AV947">
        <v>141</v>
      </c>
      <c r="AW947">
        <v>3</v>
      </c>
      <c r="AX947" t="s">
        <v>74</v>
      </c>
      <c r="AY947" t="s">
        <v>577</v>
      </c>
      <c r="AZ947" t="s">
        <v>74</v>
      </c>
      <c r="BA947" t="s">
        <v>74</v>
      </c>
      <c r="BB947" t="s">
        <v>14118</v>
      </c>
      <c r="BC947" t="s">
        <v>14091</v>
      </c>
      <c r="BD947" t="s">
        <v>74</v>
      </c>
      <c r="BE947" t="s">
        <v>74</v>
      </c>
      <c r="BF947" t="s">
        <v>74</v>
      </c>
      <c r="BG947" t="s">
        <v>74</v>
      </c>
      <c r="BH947" t="s">
        <v>74</v>
      </c>
      <c r="BI947">
        <v>2</v>
      </c>
      <c r="BJ947" t="s">
        <v>9859</v>
      </c>
      <c r="BK947" t="s">
        <v>98</v>
      </c>
      <c r="BL947" t="s">
        <v>9859</v>
      </c>
      <c r="BM947" t="s">
        <v>14063</v>
      </c>
      <c r="BN947" t="s">
        <v>74</v>
      </c>
      <c r="BO947" t="s">
        <v>74</v>
      </c>
      <c r="BP947" t="s">
        <v>74</v>
      </c>
      <c r="BQ947" t="s">
        <v>74</v>
      </c>
      <c r="BR947" t="s">
        <v>101</v>
      </c>
      <c r="BS947" t="s">
        <v>14119</v>
      </c>
      <c r="BT947" t="str">
        <f>HYPERLINK("https%3A%2F%2Fwww.webofscience.com%2Fwos%2Fwoscc%2Ffull-record%2FWOS:000202991601536","View Full Record in Web of Science")</f>
        <v>View Full Record in Web of Science</v>
      </c>
    </row>
    <row r="948" spans="1:72" x14ac:dyDescent="0.15">
      <c r="A948" t="s">
        <v>72</v>
      </c>
      <c r="B948" t="s">
        <v>14120</v>
      </c>
      <c r="C948" t="s">
        <v>74</v>
      </c>
      <c r="D948" t="s">
        <v>74</v>
      </c>
      <c r="E948" t="s">
        <v>74</v>
      </c>
      <c r="F948" t="s">
        <v>14121</v>
      </c>
      <c r="G948" t="s">
        <v>74</v>
      </c>
      <c r="H948" t="s">
        <v>74</v>
      </c>
      <c r="I948" t="s">
        <v>14122</v>
      </c>
      <c r="J948" t="s">
        <v>9841</v>
      </c>
      <c r="K948" t="s">
        <v>74</v>
      </c>
      <c r="L948" t="s">
        <v>74</v>
      </c>
      <c r="M948" t="s">
        <v>77</v>
      </c>
      <c r="N948" t="s">
        <v>52</v>
      </c>
      <c r="O948" t="s">
        <v>74</v>
      </c>
      <c r="P948" t="s">
        <v>74</v>
      </c>
      <c r="Q948" t="s">
        <v>74</v>
      </c>
      <c r="R948" t="s">
        <v>74</v>
      </c>
      <c r="S948" t="s">
        <v>74</v>
      </c>
      <c r="T948" t="s">
        <v>74</v>
      </c>
      <c r="U948" t="s">
        <v>74</v>
      </c>
      <c r="V948" t="s">
        <v>74</v>
      </c>
      <c r="W948" t="s">
        <v>14123</v>
      </c>
      <c r="X948" t="s">
        <v>14124</v>
      </c>
      <c r="Y948" t="s">
        <v>74</v>
      </c>
      <c r="Z948" t="s">
        <v>14125</v>
      </c>
      <c r="AA948" t="s">
        <v>74</v>
      </c>
      <c r="AB948" t="s">
        <v>74</v>
      </c>
      <c r="AC948" t="s">
        <v>74</v>
      </c>
      <c r="AD948" t="s">
        <v>74</v>
      </c>
      <c r="AE948" t="s">
        <v>74</v>
      </c>
      <c r="AF948" t="s">
        <v>74</v>
      </c>
      <c r="AG948">
        <v>0</v>
      </c>
      <c r="AH948">
        <v>0</v>
      </c>
      <c r="AI948">
        <v>0</v>
      </c>
      <c r="AJ948">
        <v>0</v>
      </c>
      <c r="AK948">
        <v>2</v>
      </c>
      <c r="AL948" t="s">
        <v>8860</v>
      </c>
      <c r="AM948" t="s">
        <v>89</v>
      </c>
      <c r="AN948" t="s">
        <v>8861</v>
      </c>
      <c r="AO948" t="s">
        <v>9854</v>
      </c>
      <c r="AP948" t="s">
        <v>74</v>
      </c>
      <c r="AQ948" t="s">
        <v>74</v>
      </c>
      <c r="AR948" t="s">
        <v>9856</v>
      </c>
      <c r="AS948" t="s">
        <v>9857</v>
      </c>
      <c r="AT948" t="s">
        <v>13966</v>
      </c>
      <c r="AU948">
        <v>2005</v>
      </c>
      <c r="AV948">
        <v>141</v>
      </c>
      <c r="AW948">
        <v>3</v>
      </c>
      <c r="AX948" t="s">
        <v>74</v>
      </c>
      <c r="AY948" t="s">
        <v>577</v>
      </c>
      <c r="AZ948" t="s">
        <v>74</v>
      </c>
      <c r="BA948" t="s">
        <v>74</v>
      </c>
      <c r="BB948" t="s">
        <v>14126</v>
      </c>
      <c r="BC948" t="s">
        <v>14127</v>
      </c>
      <c r="BD948" t="s">
        <v>74</v>
      </c>
      <c r="BE948" t="s">
        <v>74</v>
      </c>
      <c r="BF948" t="s">
        <v>74</v>
      </c>
      <c r="BG948" t="s">
        <v>74</v>
      </c>
      <c r="BH948" t="s">
        <v>74</v>
      </c>
      <c r="BI948">
        <v>2</v>
      </c>
      <c r="BJ948" t="s">
        <v>9859</v>
      </c>
      <c r="BK948" t="s">
        <v>98</v>
      </c>
      <c r="BL948" t="s">
        <v>9859</v>
      </c>
      <c r="BM948" t="s">
        <v>14063</v>
      </c>
      <c r="BN948" t="s">
        <v>74</v>
      </c>
      <c r="BO948" t="s">
        <v>74</v>
      </c>
      <c r="BP948" t="s">
        <v>74</v>
      </c>
      <c r="BQ948" t="s">
        <v>74</v>
      </c>
      <c r="BR948" t="s">
        <v>101</v>
      </c>
      <c r="BS948" t="s">
        <v>14128</v>
      </c>
      <c r="BT948" t="str">
        <f>HYPERLINK("https%3A%2F%2Fwww.webofscience.com%2Fwos%2Fwoscc%2Ffull-record%2FWOS:000202991601543","View Full Record in Web of Science")</f>
        <v>View Full Record in Web of Science</v>
      </c>
    </row>
    <row r="949" spans="1:72" x14ac:dyDescent="0.15">
      <c r="A949" t="s">
        <v>72</v>
      </c>
      <c r="B949" t="s">
        <v>14129</v>
      </c>
      <c r="C949" t="s">
        <v>74</v>
      </c>
      <c r="D949" t="s">
        <v>74</v>
      </c>
      <c r="E949" t="s">
        <v>74</v>
      </c>
      <c r="F949" t="s">
        <v>14130</v>
      </c>
      <c r="G949" t="s">
        <v>74</v>
      </c>
      <c r="H949" t="s">
        <v>74</v>
      </c>
      <c r="I949" t="s">
        <v>14131</v>
      </c>
      <c r="J949" t="s">
        <v>9841</v>
      </c>
      <c r="K949" t="s">
        <v>74</v>
      </c>
      <c r="L949" t="s">
        <v>74</v>
      </c>
      <c r="M949" t="s">
        <v>77</v>
      </c>
      <c r="N949" t="s">
        <v>52</v>
      </c>
      <c r="O949" t="s">
        <v>74</v>
      </c>
      <c r="P949" t="s">
        <v>74</v>
      </c>
      <c r="Q949" t="s">
        <v>74</v>
      </c>
      <c r="R949" t="s">
        <v>74</v>
      </c>
      <c r="S949" t="s">
        <v>74</v>
      </c>
      <c r="T949" t="s">
        <v>14132</v>
      </c>
      <c r="U949" t="s">
        <v>74</v>
      </c>
      <c r="V949" t="s">
        <v>74</v>
      </c>
      <c r="W949" t="s">
        <v>14133</v>
      </c>
      <c r="X949" t="s">
        <v>788</v>
      </c>
      <c r="Y949" t="s">
        <v>74</v>
      </c>
      <c r="Z949" t="s">
        <v>14134</v>
      </c>
      <c r="AA949" t="s">
        <v>74</v>
      </c>
      <c r="AB949" t="s">
        <v>74</v>
      </c>
      <c r="AC949" t="s">
        <v>74</v>
      </c>
      <c r="AD949" t="s">
        <v>74</v>
      </c>
      <c r="AE949" t="s">
        <v>74</v>
      </c>
      <c r="AF949" t="s">
        <v>74</v>
      </c>
      <c r="AG949">
        <v>0</v>
      </c>
      <c r="AH949">
        <v>0</v>
      </c>
      <c r="AI949">
        <v>0</v>
      </c>
      <c r="AJ949">
        <v>0</v>
      </c>
      <c r="AK949">
        <v>0</v>
      </c>
      <c r="AL949" t="s">
        <v>8860</v>
      </c>
      <c r="AM949" t="s">
        <v>89</v>
      </c>
      <c r="AN949" t="s">
        <v>8861</v>
      </c>
      <c r="AO949" t="s">
        <v>9854</v>
      </c>
      <c r="AP949" t="s">
        <v>9855</v>
      </c>
      <c r="AQ949" t="s">
        <v>74</v>
      </c>
      <c r="AR949" t="s">
        <v>9856</v>
      </c>
      <c r="AS949" t="s">
        <v>9857</v>
      </c>
      <c r="AT949" t="s">
        <v>13966</v>
      </c>
      <c r="AU949">
        <v>2005</v>
      </c>
      <c r="AV949">
        <v>141</v>
      </c>
      <c r="AW949">
        <v>3</v>
      </c>
      <c r="AX949" t="s">
        <v>74</v>
      </c>
      <c r="AY949" t="s">
        <v>577</v>
      </c>
      <c r="AZ949" t="s">
        <v>74</v>
      </c>
      <c r="BA949" t="s">
        <v>74</v>
      </c>
      <c r="BB949" t="s">
        <v>14135</v>
      </c>
      <c r="BC949" t="s">
        <v>14135</v>
      </c>
      <c r="BD949" t="s">
        <v>74</v>
      </c>
      <c r="BE949" t="s">
        <v>74</v>
      </c>
      <c r="BF949" t="s">
        <v>74</v>
      </c>
      <c r="BG949" t="s">
        <v>74</v>
      </c>
      <c r="BH949" t="s">
        <v>74</v>
      </c>
      <c r="BI949">
        <v>1</v>
      </c>
      <c r="BJ949" t="s">
        <v>9859</v>
      </c>
      <c r="BK949" t="s">
        <v>98</v>
      </c>
      <c r="BL949" t="s">
        <v>9859</v>
      </c>
      <c r="BM949" t="s">
        <v>14063</v>
      </c>
      <c r="BN949" t="s">
        <v>74</v>
      </c>
      <c r="BO949" t="s">
        <v>74</v>
      </c>
      <c r="BP949" t="s">
        <v>74</v>
      </c>
      <c r="BQ949" t="s">
        <v>74</v>
      </c>
      <c r="BR949" t="s">
        <v>101</v>
      </c>
      <c r="BS949" t="s">
        <v>14136</v>
      </c>
      <c r="BT949" t="str">
        <f>HYPERLINK("https%3A%2F%2Fwww.webofscience.com%2Fwos%2Fwoscc%2Ffull-record%2FWOS:000202991601468","View Full Record in Web of Science")</f>
        <v>View Full Record in Web of Science</v>
      </c>
    </row>
    <row r="950" spans="1:72" x14ac:dyDescent="0.15">
      <c r="A950" t="s">
        <v>72</v>
      </c>
      <c r="B950" t="s">
        <v>14137</v>
      </c>
      <c r="C950" t="s">
        <v>74</v>
      </c>
      <c r="D950" t="s">
        <v>74</v>
      </c>
      <c r="E950" t="s">
        <v>74</v>
      </c>
      <c r="F950" t="s">
        <v>14138</v>
      </c>
      <c r="G950" t="s">
        <v>74</v>
      </c>
      <c r="H950" t="s">
        <v>74</v>
      </c>
      <c r="I950" t="s">
        <v>14139</v>
      </c>
      <c r="J950" t="s">
        <v>9841</v>
      </c>
      <c r="K950" t="s">
        <v>74</v>
      </c>
      <c r="L950" t="s">
        <v>74</v>
      </c>
      <c r="M950" t="s">
        <v>77</v>
      </c>
      <c r="N950" t="s">
        <v>52</v>
      </c>
      <c r="O950" t="s">
        <v>74</v>
      </c>
      <c r="P950" t="s">
        <v>74</v>
      </c>
      <c r="Q950" t="s">
        <v>74</v>
      </c>
      <c r="R950" t="s">
        <v>74</v>
      </c>
      <c r="S950" t="s">
        <v>74</v>
      </c>
      <c r="T950" t="s">
        <v>14140</v>
      </c>
      <c r="U950" t="s">
        <v>74</v>
      </c>
      <c r="V950" t="s">
        <v>74</v>
      </c>
      <c r="W950" t="s">
        <v>14141</v>
      </c>
      <c r="X950" t="s">
        <v>14142</v>
      </c>
      <c r="Y950" t="s">
        <v>74</v>
      </c>
      <c r="Z950" t="s">
        <v>14143</v>
      </c>
      <c r="AA950" t="s">
        <v>14144</v>
      </c>
      <c r="AB950" t="s">
        <v>74</v>
      </c>
      <c r="AC950" t="s">
        <v>74</v>
      </c>
      <c r="AD950" t="s">
        <v>74</v>
      </c>
      <c r="AE950" t="s">
        <v>74</v>
      </c>
      <c r="AF950" t="s">
        <v>74</v>
      </c>
      <c r="AG950">
        <v>0</v>
      </c>
      <c r="AH950">
        <v>0</v>
      </c>
      <c r="AI950">
        <v>0</v>
      </c>
      <c r="AJ950">
        <v>0</v>
      </c>
      <c r="AK950">
        <v>2</v>
      </c>
      <c r="AL950" t="s">
        <v>8860</v>
      </c>
      <c r="AM950" t="s">
        <v>89</v>
      </c>
      <c r="AN950" t="s">
        <v>8861</v>
      </c>
      <c r="AO950" t="s">
        <v>9854</v>
      </c>
      <c r="AP950" t="s">
        <v>74</v>
      </c>
      <c r="AQ950" t="s">
        <v>74</v>
      </c>
      <c r="AR950" t="s">
        <v>9856</v>
      </c>
      <c r="AS950" t="s">
        <v>9857</v>
      </c>
      <c r="AT950" t="s">
        <v>13966</v>
      </c>
      <c r="AU950">
        <v>2005</v>
      </c>
      <c r="AV950">
        <v>141</v>
      </c>
      <c r="AW950">
        <v>3</v>
      </c>
      <c r="AX950" t="s">
        <v>74</v>
      </c>
      <c r="AY950" t="s">
        <v>577</v>
      </c>
      <c r="AZ950" t="s">
        <v>74</v>
      </c>
      <c r="BA950" t="s">
        <v>74</v>
      </c>
      <c r="BB950" t="s">
        <v>14145</v>
      </c>
      <c r="BC950" t="s">
        <v>14145</v>
      </c>
      <c r="BD950" t="s">
        <v>74</v>
      </c>
      <c r="BE950" t="s">
        <v>74</v>
      </c>
      <c r="BF950" t="s">
        <v>74</v>
      </c>
      <c r="BG950" t="s">
        <v>74</v>
      </c>
      <c r="BH950" t="s">
        <v>74</v>
      </c>
      <c r="BI950">
        <v>1</v>
      </c>
      <c r="BJ950" t="s">
        <v>9859</v>
      </c>
      <c r="BK950" t="s">
        <v>98</v>
      </c>
      <c r="BL950" t="s">
        <v>9859</v>
      </c>
      <c r="BM950" t="s">
        <v>14063</v>
      </c>
      <c r="BN950" t="s">
        <v>74</v>
      </c>
      <c r="BO950" t="s">
        <v>74</v>
      </c>
      <c r="BP950" t="s">
        <v>74</v>
      </c>
      <c r="BQ950" t="s">
        <v>74</v>
      </c>
      <c r="BR950" t="s">
        <v>101</v>
      </c>
      <c r="BS950" t="s">
        <v>14146</v>
      </c>
      <c r="BT950" t="str">
        <f>HYPERLINK("https%3A%2F%2Fwww.webofscience.com%2Fwos%2Fwoscc%2Ffull-record%2FWOS:000202991601140","View Full Record in Web of Science")</f>
        <v>View Full Record in Web of Science</v>
      </c>
    </row>
    <row r="951" spans="1:72" x14ac:dyDescent="0.15">
      <c r="A951" t="s">
        <v>72</v>
      </c>
      <c r="B951" t="s">
        <v>14147</v>
      </c>
      <c r="C951" t="s">
        <v>74</v>
      </c>
      <c r="D951" t="s">
        <v>74</v>
      </c>
      <c r="E951" t="s">
        <v>74</v>
      </c>
      <c r="F951" t="s">
        <v>14148</v>
      </c>
      <c r="G951" t="s">
        <v>74</v>
      </c>
      <c r="H951" t="s">
        <v>74</v>
      </c>
      <c r="I951" t="s">
        <v>14149</v>
      </c>
      <c r="J951" t="s">
        <v>9841</v>
      </c>
      <c r="K951" t="s">
        <v>74</v>
      </c>
      <c r="L951" t="s">
        <v>74</v>
      </c>
      <c r="M951" t="s">
        <v>77</v>
      </c>
      <c r="N951" t="s">
        <v>52</v>
      </c>
      <c r="O951" t="s">
        <v>74</v>
      </c>
      <c r="P951" t="s">
        <v>74</v>
      </c>
      <c r="Q951" t="s">
        <v>74</v>
      </c>
      <c r="R951" t="s">
        <v>74</v>
      </c>
      <c r="S951" t="s">
        <v>74</v>
      </c>
      <c r="T951" t="s">
        <v>14150</v>
      </c>
      <c r="U951" t="s">
        <v>74</v>
      </c>
      <c r="V951" t="s">
        <v>74</v>
      </c>
      <c r="W951" t="s">
        <v>14151</v>
      </c>
      <c r="X951" t="s">
        <v>14152</v>
      </c>
      <c r="Y951" t="s">
        <v>74</v>
      </c>
      <c r="Z951" t="s">
        <v>14153</v>
      </c>
      <c r="AA951" t="s">
        <v>14154</v>
      </c>
      <c r="AB951" t="s">
        <v>74</v>
      </c>
      <c r="AC951" t="s">
        <v>74</v>
      </c>
      <c r="AD951" t="s">
        <v>74</v>
      </c>
      <c r="AE951" t="s">
        <v>74</v>
      </c>
      <c r="AF951" t="s">
        <v>74</v>
      </c>
      <c r="AG951">
        <v>0</v>
      </c>
      <c r="AH951">
        <v>0</v>
      </c>
      <c r="AI951">
        <v>0</v>
      </c>
      <c r="AJ951">
        <v>0</v>
      </c>
      <c r="AK951">
        <v>3</v>
      </c>
      <c r="AL951" t="s">
        <v>8860</v>
      </c>
      <c r="AM951" t="s">
        <v>89</v>
      </c>
      <c r="AN951" t="s">
        <v>8861</v>
      </c>
      <c r="AO951" t="s">
        <v>9854</v>
      </c>
      <c r="AP951" t="s">
        <v>9855</v>
      </c>
      <c r="AQ951" t="s">
        <v>74</v>
      </c>
      <c r="AR951" t="s">
        <v>9856</v>
      </c>
      <c r="AS951" t="s">
        <v>9857</v>
      </c>
      <c r="AT951" t="s">
        <v>13966</v>
      </c>
      <c r="AU951">
        <v>2005</v>
      </c>
      <c r="AV951">
        <v>141</v>
      </c>
      <c r="AW951">
        <v>3</v>
      </c>
      <c r="AX951" t="s">
        <v>74</v>
      </c>
      <c r="AY951" t="s">
        <v>577</v>
      </c>
      <c r="AZ951" t="s">
        <v>74</v>
      </c>
      <c r="BA951" t="s">
        <v>74</v>
      </c>
      <c r="BB951" t="s">
        <v>14098</v>
      </c>
      <c r="BC951" t="s">
        <v>14155</v>
      </c>
      <c r="BD951" t="s">
        <v>74</v>
      </c>
      <c r="BE951" t="s">
        <v>74</v>
      </c>
      <c r="BF951" t="s">
        <v>74</v>
      </c>
      <c r="BG951" t="s">
        <v>74</v>
      </c>
      <c r="BH951" t="s">
        <v>74</v>
      </c>
      <c r="BI951">
        <v>2</v>
      </c>
      <c r="BJ951" t="s">
        <v>9859</v>
      </c>
      <c r="BK951" t="s">
        <v>98</v>
      </c>
      <c r="BL951" t="s">
        <v>9859</v>
      </c>
      <c r="BM951" t="s">
        <v>14063</v>
      </c>
      <c r="BN951" t="s">
        <v>74</v>
      </c>
      <c r="BO951" t="s">
        <v>74</v>
      </c>
      <c r="BP951" t="s">
        <v>74</v>
      </c>
      <c r="BQ951" t="s">
        <v>74</v>
      </c>
      <c r="BR951" t="s">
        <v>101</v>
      </c>
      <c r="BS951" t="s">
        <v>14156</v>
      </c>
      <c r="BT951" t="str">
        <f>HYPERLINK("https%3A%2F%2Fwww.webofscience.com%2Fwos%2Fwoscc%2Ffull-record%2FWOS:000202991601484","View Full Record in Web of Science")</f>
        <v>View Full Record in Web of Science</v>
      </c>
    </row>
    <row r="952" spans="1:72" x14ac:dyDescent="0.15">
      <c r="A952" t="s">
        <v>72</v>
      </c>
      <c r="B952" t="s">
        <v>14157</v>
      </c>
      <c r="C952" t="s">
        <v>74</v>
      </c>
      <c r="D952" t="s">
        <v>74</v>
      </c>
      <c r="E952" t="s">
        <v>74</v>
      </c>
      <c r="F952" t="s">
        <v>14157</v>
      </c>
      <c r="G952" t="s">
        <v>74</v>
      </c>
      <c r="H952" t="s">
        <v>74</v>
      </c>
      <c r="I952" t="s">
        <v>14158</v>
      </c>
      <c r="J952" t="s">
        <v>615</v>
      </c>
      <c r="K952" t="s">
        <v>74</v>
      </c>
      <c r="L952" t="s">
        <v>74</v>
      </c>
      <c r="M952" t="s">
        <v>77</v>
      </c>
      <c r="N952" t="s">
        <v>78</v>
      </c>
      <c r="O952" t="s">
        <v>74</v>
      </c>
      <c r="P952" t="s">
        <v>74</v>
      </c>
      <c r="Q952" t="s">
        <v>74</v>
      </c>
      <c r="R952" t="s">
        <v>74</v>
      </c>
      <c r="S952" t="s">
        <v>74</v>
      </c>
      <c r="T952" t="s">
        <v>14159</v>
      </c>
      <c r="U952" t="s">
        <v>14160</v>
      </c>
      <c r="V952" t="s">
        <v>14161</v>
      </c>
      <c r="W952" t="s">
        <v>14162</v>
      </c>
      <c r="X952" t="s">
        <v>274</v>
      </c>
      <c r="Y952" t="s">
        <v>6025</v>
      </c>
      <c r="Z952" t="s">
        <v>14163</v>
      </c>
      <c r="AA952" t="s">
        <v>74</v>
      </c>
      <c r="AB952" t="s">
        <v>74</v>
      </c>
      <c r="AC952" t="s">
        <v>74</v>
      </c>
      <c r="AD952" t="s">
        <v>74</v>
      </c>
      <c r="AE952" t="s">
        <v>74</v>
      </c>
      <c r="AF952" t="s">
        <v>74</v>
      </c>
      <c r="AG952">
        <v>85</v>
      </c>
      <c r="AH952">
        <v>56</v>
      </c>
      <c r="AI952">
        <v>61</v>
      </c>
      <c r="AJ952">
        <v>2</v>
      </c>
      <c r="AK952">
        <v>16</v>
      </c>
      <c r="AL952" t="s">
        <v>622</v>
      </c>
      <c r="AM952" t="s">
        <v>140</v>
      </c>
      <c r="AN952" t="s">
        <v>623</v>
      </c>
      <c r="AO952" t="s">
        <v>624</v>
      </c>
      <c r="AP952" t="s">
        <v>625</v>
      </c>
      <c r="AQ952" t="s">
        <v>74</v>
      </c>
      <c r="AR952" t="s">
        <v>626</v>
      </c>
      <c r="AS952" t="s">
        <v>627</v>
      </c>
      <c r="AT952" t="s">
        <v>13966</v>
      </c>
      <c r="AU952">
        <v>2005</v>
      </c>
      <c r="AV952">
        <v>52</v>
      </c>
      <c r="AW952">
        <v>7</v>
      </c>
      <c r="AX952" t="s">
        <v>74</v>
      </c>
      <c r="AY952" t="s">
        <v>74</v>
      </c>
      <c r="AZ952" t="s">
        <v>74</v>
      </c>
      <c r="BA952" t="s">
        <v>74</v>
      </c>
      <c r="BB952">
        <v>1241</v>
      </c>
      <c r="BC952">
        <v>1271</v>
      </c>
      <c r="BD952" t="s">
        <v>74</v>
      </c>
      <c r="BE952" t="s">
        <v>14164</v>
      </c>
      <c r="BF952" t="str">
        <f>HYPERLINK("http://dx.doi.org/10.1016/j.dsr.2004.11.019","http://dx.doi.org/10.1016/j.dsr.2004.11.019")</f>
        <v>http://dx.doi.org/10.1016/j.dsr.2004.11.019</v>
      </c>
      <c r="BG952" t="s">
        <v>74</v>
      </c>
      <c r="BH952" t="s">
        <v>74</v>
      </c>
      <c r="BI952">
        <v>31</v>
      </c>
      <c r="BJ952" t="s">
        <v>629</v>
      </c>
      <c r="BK952" t="s">
        <v>98</v>
      </c>
      <c r="BL952" t="s">
        <v>629</v>
      </c>
      <c r="BM952" t="s">
        <v>14165</v>
      </c>
      <c r="BN952" t="s">
        <v>74</v>
      </c>
      <c r="BO952" t="s">
        <v>74</v>
      </c>
      <c r="BP952" t="s">
        <v>74</v>
      </c>
      <c r="BQ952" t="s">
        <v>74</v>
      </c>
      <c r="BR952" t="s">
        <v>101</v>
      </c>
      <c r="BS952" t="s">
        <v>14166</v>
      </c>
      <c r="BT952" t="str">
        <f>HYPERLINK("https%3A%2F%2Fwww.webofscience.com%2Fwos%2Fwoscc%2Ffull-record%2FWOS:000230417900008","View Full Record in Web of Science")</f>
        <v>View Full Record in Web of Science</v>
      </c>
    </row>
    <row r="953" spans="1:72" x14ac:dyDescent="0.15">
      <c r="A953" t="s">
        <v>72</v>
      </c>
      <c r="B953" t="s">
        <v>14167</v>
      </c>
      <c r="C953" t="s">
        <v>74</v>
      </c>
      <c r="D953" t="s">
        <v>74</v>
      </c>
      <c r="E953" t="s">
        <v>74</v>
      </c>
      <c r="F953" t="s">
        <v>14167</v>
      </c>
      <c r="G953" t="s">
        <v>74</v>
      </c>
      <c r="H953" t="s">
        <v>74</v>
      </c>
      <c r="I953" t="s">
        <v>14168</v>
      </c>
      <c r="J953" t="s">
        <v>615</v>
      </c>
      <c r="K953" t="s">
        <v>74</v>
      </c>
      <c r="L953" t="s">
        <v>74</v>
      </c>
      <c r="M953" t="s">
        <v>77</v>
      </c>
      <c r="N953" t="s">
        <v>78</v>
      </c>
      <c r="O953" t="s">
        <v>74</v>
      </c>
      <c r="P953" t="s">
        <v>74</v>
      </c>
      <c r="Q953" t="s">
        <v>74</v>
      </c>
      <c r="R953" t="s">
        <v>74</v>
      </c>
      <c r="S953" t="s">
        <v>74</v>
      </c>
      <c r="T953" t="s">
        <v>14169</v>
      </c>
      <c r="U953" t="s">
        <v>14170</v>
      </c>
      <c r="V953" t="s">
        <v>14171</v>
      </c>
      <c r="W953" t="s">
        <v>14172</v>
      </c>
      <c r="X953" t="s">
        <v>9355</v>
      </c>
      <c r="Y953" t="s">
        <v>14173</v>
      </c>
      <c r="Z953" t="s">
        <v>14174</v>
      </c>
      <c r="AA953" t="s">
        <v>74</v>
      </c>
      <c r="AB953" t="s">
        <v>3108</v>
      </c>
      <c r="AC953" t="s">
        <v>74</v>
      </c>
      <c r="AD953" t="s">
        <v>74</v>
      </c>
      <c r="AE953" t="s">
        <v>74</v>
      </c>
      <c r="AF953" t="s">
        <v>74</v>
      </c>
      <c r="AG953">
        <v>48</v>
      </c>
      <c r="AH953">
        <v>19</v>
      </c>
      <c r="AI953">
        <v>20</v>
      </c>
      <c r="AJ953">
        <v>0</v>
      </c>
      <c r="AK953">
        <v>26</v>
      </c>
      <c r="AL953" t="s">
        <v>622</v>
      </c>
      <c r="AM953" t="s">
        <v>140</v>
      </c>
      <c r="AN953" t="s">
        <v>623</v>
      </c>
      <c r="AO953" t="s">
        <v>624</v>
      </c>
      <c r="AP953" t="s">
        <v>74</v>
      </c>
      <c r="AQ953" t="s">
        <v>74</v>
      </c>
      <c r="AR953" t="s">
        <v>626</v>
      </c>
      <c r="AS953" t="s">
        <v>627</v>
      </c>
      <c r="AT953" t="s">
        <v>13966</v>
      </c>
      <c r="AU953">
        <v>2005</v>
      </c>
      <c r="AV953">
        <v>52</v>
      </c>
      <c r="AW953">
        <v>7</v>
      </c>
      <c r="AX953" t="s">
        <v>74</v>
      </c>
      <c r="AY953" t="s">
        <v>74</v>
      </c>
      <c r="AZ953" t="s">
        <v>74</v>
      </c>
      <c r="BA953" t="s">
        <v>74</v>
      </c>
      <c r="BB953">
        <v>1272</v>
      </c>
      <c r="BC953">
        <v>1283</v>
      </c>
      <c r="BD953" t="s">
        <v>74</v>
      </c>
      <c r="BE953" t="s">
        <v>14175</v>
      </c>
      <c r="BF953" t="str">
        <f>HYPERLINK("http://dx.doi.org/10.1016/j.dsr.2005.01.005","http://dx.doi.org/10.1016/j.dsr.2005.01.005")</f>
        <v>http://dx.doi.org/10.1016/j.dsr.2005.01.005</v>
      </c>
      <c r="BG953" t="s">
        <v>74</v>
      </c>
      <c r="BH953" t="s">
        <v>74</v>
      </c>
      <c r="BI953">
        <v>12</v>
      </c>
      <c r="BJ953" t="s">
        <v>629</v>
      </c>
      <c r="BK953" t="s">
        <v>98</v>
      </c>
      <c r="BL953" t="s">
        <v>629</v>
      </c>
      <c r="BM953" t="s">
        <v>14165</v>
      </c>
      <c r="BN953" t="s">
        <v>74</v>
      </c>
      <c r="BO953" t="s">
        <v>74</v>
      </c>
      <c r="BP953" t="s">
        <v>74</v>
      </c>
      <c r="BQ953" t="s">
        <v>74</v>
      </c>
      <c r="BR953" t="s">
        <v>101</v>
      </c>
      <c r="BS953" t="s">
        <v>14176</v>
      </c>
      <c r="BT953" t="str">
        <f>HYPERLINK("https%3A%2F%2Fwww.webofscience.com%2Fwos%2Fwoscc%2Ffull-record%2FWOS:000230417900009","View Full Record in Web of Science")</f>
        <v>View Full Record in Web of Science</v>
      </c>
    </row>
    <row r="954" spans="1:72" x14ac:dyDescent="0.15">
      <c r="A954" t="s">
        <v>72</v>
      </c>
      <c r="B954" t="s">
        <v>14177</v>
      </c>
      <c r="C954" t="s">
        <v>74</v>
      </c>
      <c r="D954" t="s">
        <v>74</v>
      </c>
      <c r="E954" t="s">
        <v>74</v>
      </c>
      <c r="F954" t="s">
        <v>14177</v>
      </c>
      <c r="G954" t="s">
        <v>74</v>
      </c>
      <c r="H954" t="s">
        <v>74</v>
      </c>
      <c r="I954" t="s">
        <v>14178</v>
      </c>
      <c r="J954" t="s">
        <v>14179</v>
      </c>
      <c r="K954" t="s">
        <v>74</v>
      </c>
      <c r="L954" t="s">
        <v>74</v>
      </c>
      <c r="M954" t="s">
        <v>77</v>
      </c>
      <c r="N954" t="s">
        <v>78</v>
      </c>
      <c r="O954" t="s">
        <v>74</v>
      </c>
      <c r="P954" t="s">
        <v>74</v>
      </c>
      <c r="Q954" t="s">
        <v>74</v>
      </c>
      <c r="R954" t="s">
        <v>74</v>
      </c>
      <c r="S954" t="s">
        <v>74</v>
      </c>
      <c r="T954" t="s">
        <v>14180</v>
      </c>
      <c r="U954" t="s">
        <v>14181</v>
      </c>
      <c r="V954" t="s">
        <v>14182</v>
      </c>
      <c r="W954" t="s">
        <v>14183</v>
      </c>
      <c r="X954" t="s">
        <v>14184</v>
      </c>
      <c r="Y954" t="s">
        <v>10412</v>
      </c>
      <c r="Z954" t="s">
        <v>10413</v>
      </c>
      <c r="AA954" t="s">
        <v>74</v>
      </c>
      <c r="AB954" t="s">
        <v>74</v>
      </c>
      <c r="AC954" t="s">
        <v>74</v>
      </c>
      <c r="AD954" t="s">
        <v>74</v>
      </c>
      <c r="AE954" t="s">
        <v>74</v>
      </c>
      <c r="AF954" t="s">
        <v>74</v>
      </c>
      <c r="AG954">
        <v>91</v>
      </c>
      <c r="AH954">
        <v>41</v>
      </c>
      <c r="AI954">
        <v>47</v>
      </c>
      <c r="AJ954">
        <v>0</v>
      </c>
      <c r="AK954">
        <v>10</v>
      </c>
      <c r="AL954" t="s">
        <v>4409</v>
      </c>
      <c r="AM954" t="s">
        <v>4410</v>
      </c>
      <c r="AN954" t="s">
        <v>4411</v>
      </c>
      <c r="AO954" t="s">
        <v>14185</v>
      </c>
      <c r="AP954" t="s">
        <v>14186</v>
      </c>
      <c r="AQ954" t="s">
        <v>74</v>
      </c>
      <c r="AR954" t="s">
        <v>14187</v>
      </c>
      <c r="AS954" t="s">
        <v>14188</v>
      </c>
      <c r="AT954" t="s">
        <v>14189</v>
      </c>
      <c r="AU954">
        <v>2005</v>
      </c>
      <c r="AV954">
        <v>283</v>
      </c>
      <c r="AW954">
        <v>1</v>
      </c>
      <c r="AX954" t="s">
        <v>74</v>
      </c>
      <c r="AY954" t="s">
        <v>74</v>
      </c>
      <c r="AZ954" t="s">
        <v>74</v>
      </c>
      <c r="BA954" t="s">
        <v>74</v>
      </c>
      <c r="BB954">
        <v>97</v>
      </c>
      <c r="BC954">
        <v>112</v>
      </c>
      <c r="BD954" t="s">
        <v>74</v>
      </c>
      <c r="BE954" t="s">
        <v>14190</v>
      </c>
      <c r="BF954" t="str">
        <f>HYPERLINK("http://dx.doi.org/10.1016/j.ydbio.2005.04.006","http://dx.doi.org/10.1016/j.ydbio.2005.04.006")</f>
        <v>http://dx.doi.org/10.1016/j.ydbio.2005.04.006</v>
      </c>
      <c r="BG954" t="s">
        <v>74</v>
      </c>
      <c r="BH954" t="s">
        <v>74</v>
      </c>
      <c r="BI954">
        <v>16</v>
      </c>
      <c r="BJ954" t="s">
        <v>14191</v>
      </c>
      <c r="BK954" t="s">
        <v>98</v>
      </c>
      <c r="BL954" t="s">
        <v>14191</v>
      </c>
      <c r="BM954" t="s">
        <v>14192</v>
      </c>
      <c r="BN954">
        <v>15890331</v>
      </c>
      <c r="BO954" t="s">
        <v>1132</v>
      </c>
      <c r="BP954" t="s">
        <v>74</v>
      </c>
      <c r="BQ954" t="s">
        <v>74</v>
      </c>
      <c r="BR954" t="s">
        <v>101</v>
      </c>
      <c r="BS954" t="s">
        <v>14193</v>
      </c>
      <c r="BT954" t="str">
        <f>HYPERLINK("https%3A%2F%2Fwww.webofscience.com%2Fwos%2Fwoscc%2Ffull-record%2FWOS:000230418400008","View Full Record in Web of Science")</f>
        <v>View Full Record in Web of Science</v>
      </c>
    </row>
    <row r="955" spans="1:72" x14ac:dyDescent="0.15">
      <c r="A955" t="s">
        <v>72</v>
      </c>
      <c r="B955" t="s">
        <v>14194</v>
      </c>
      <c r="C955" t="s">
        <v>74</v>
      </c>
      <c r="D955" t="s">
        <v>74</v>
      </c>
      <c r="E955" t="s">
        <v>74</v>
      </c>
      <c r="F955" t="s">
        <v>14194</v>
      </c>
      <c r="G955" t="s">
        <v>74</v>
      </c>
      <c r="H955" t="s">
        <v>74</v>
      </c>
      <c r="I955" t="s">
        <v>14195</v>
      </c>
      <c r="J955" t="s">
        <v>5359</v>
      </c>
      <c r="K955" t="s">
        <v>74</v>
      </c>
      <c r="L955" t="s">
        <v>74</v>
      </c>
      <c r="M955" t="s">
        <v>77</v>
      </c>
      <c r="N955" t="s">
        <v>78</v>
      </c>
      <c r="O955" t="s">
        <v>74</v>
      </c>
      <c r="P955" t="s">
        <v>74</v>
      </c>
      <c r="Q955" t="s">
        <v>74</v>
      </c>
      <c r="R955" t="s">
        <v>74</v>
      </c>
      <c r="S955" t="s">
        <v>74</v>
      </c>
      <c r="T955" t="s">
        <v>74</v>
      </c>
      <c r="U955" t="s">
        <v>14196</v>
      </c>
      <c r="V955" t="s">
        <v>14197</v>
      </c>
      <c r="W955" t="s">
        <v>14198</v>
      </c>
      <c r="X955" t="s">
        <v>14199</v>
      </c>
      <c r="Y955" t="s">
        <v>14200</v>
      </c>
      <c r="Z955" t="s">
        <v>14201</v>
      </c>
      <c r="AA955" t="s">
        <v>14202</v>
      </c>
      <c r="AB955" t="s">
        <v>14203</v>
      </c>
      <c r="AC955" t="s">
        <v>74</v>
      </c>
      <c r="AD955" t="s">
        <v>74</v>
      </c>
      <c r="AE955" t="s">
        <v>74</v>
      </c>
      <c r="AF955" t="s">
        <v>74</v>
      </c>
      <c r="AG955">
        <v>69</v>
      </c>
      <c r="AH955">
        <v>74</v>
      </c>
      <c r="AI955">
        <v>84</v>
      </c>
      <c r="AJ955">
        <v>6</v>
      </c>
      <c r="AK955">
        <v>96</v>
      </c>
      <c r="AL955" t="s">
        <v>5368</v>
      </c>
      <c r="AM955" t="s">
        <v>2541</v>
      </c>
      <c r="AN955" t="s">
        <v>5369</v>
      </c>
      <c r="AO955" t="s">
        <v>5370</v>
      </c>
      <c r="AP955" t="s">
        <v>74</v>
      </c>
      <c r="AQ955" t="s">
        <v>74</v>
      </c>
      <c r="AR955" t="s">
        <v>5371</v>
      </c>
      <c r="AS955" t="s">
        <v>5372</v>
      </c>
      <c r="AT955" t="s">
        <v>14189</v>
      </c>
      <c r="AU955">
        <v>2005</v>
      </c>
      <c r="AV955">
        <v>39</v>
      </c>
      <c r="AW955">
        <v>13</v>
      </c>
      <c r="AX955" t="s">
        <v>74</v>
      </c>
      <c r="AY955" t="s">
        <v>74</v>
      </c>
      <c r="AZ955" t="s">
        <v>74</v>
      </c>
      <c r="BA955" t="s">
        <v>74</v>
      </c>
      <c r="BB955">
        <v>5066</v>
      </c>
      <c r="BC955">
        <v>5075</v>
      </c>
      <c r="BD955" t="s">
        <v>74</v>
      </c>
      <c r="BE955" t="s">
        <v>14204</v>
      </c>
      <c r="BF955" t="str">
        <f>HYPERLINK("http://dx.doi.org/10.1021/es0480567","http://dx.doi.org/10.1021/es0480567")</f>
        <v>http://dx.doi.org/10.1021/es0480567</v>
      </c>
      <c r="BG955" t="s">
        <v>74</v>
      </c>
      <c r="BH955" t="s">
        <v>74</v>
      </c>
      <c r="BI955">
        <v>10</v>
      </c>
      <c r="BJ955" t="s">
        <v>5374</v>
      </c>
      <c r="BK955" t="s">
        <v>98</v>
      </c>
      <c r="BL955" t="s">
        <v>5375</v>
      </c>
      <c r="BM955" t="s">
        <v>14205</v>
      </c>
      <c r="BN955">
        <v>16053112</v>
      </c>
      <c r="BO955" t="s">
        <v>74</v>
      </c>
      <c r="BP955" t="s">
        <v>74</v>
      </c>
      <c r="BQ955" t="s">
        <v>74</v>
      </c>
      <c r="BR955" t="s">
        <v>101</v>
      </c>
      <c r="BS955" t="s">
        <v>14206</v>
      </c>
      <c r="BT955" t="str">
        <f>HYPERLINK("https%3A%2F%2Fwww.webofscience.com%2Fwos%2Fwoscc%2Ffull-record%2FWOS:000230245500062","View Full Record in Web of Science")</f>
        <v>View Full Record in Web of Science</v>
      </c>
    </row>
    <row r="956" spans="1:72" x14ac:dyDescent="0.15">
      <c r="A956" t="s">
        <v>72</v>
      </c>
      <c r="B956" t="s">
        <v>14207</v>
      </c>
      <c r="C956" t="s">
        <v>74</v>
      </c>
      <c r="D956" t="s">
        <v>74</v>
      </c>
      <c r="E956" t="s">
        <v>74</v>
      </c>
      <c r="F956" t="s">
        <v>14207</v>
      </c>
      <c r="G956" t="s">
        <v>74</v>
      </c>
      <c r="H956" t="s">
        <v>74</v>
      </c>
      <c r="I956" t="s">
        <v>14208</v>
      </c>
      <c r="J956" t="s">
        <v>14209</v>
      </c>
      <c r="K956" t="s">
        <v>74</v>
      </c>
      <c r="L956" t="s">
        <v>74</v>
      </c>
      <c r="M956" t="s">
        <v>77</v>
      </c>
      <c r="N956" t="s">
        <v>78</v>
      </c>
      <c r="O956" t="s">
        <v>74</v>
      </c>
      <c r="P956" t="s">
        <v>74</v>
      </c>
      <c r="Q956" t="s">
        <v>74</v>
      </c>
      <c r="R956" t="s">
        <v>74</v>
      </c>
      <c r="S956" t="s">
        <v>74</v>
      </c>
      <c r="T956" t="s">
        <v>74</v>
      </c>
      <c r="U956" t="s">
        <v>14210</v>
      </c>
      <c r="V956" t="s">
        <v>14211</v>
      </c>
      <c r="W956" t="s">
        <v>14212</v>
      </c>
      <c r="X956" t="s">
        <v>14213</v>
      </c>
      <c r="Y956" t="s">
        <v>14214</v>
      </c>
      <c r="Z956" t="s">
        <v>74</v>
      </c>
      <c r="AA956" t="s">
        <v>14215</v>
      </c>
      <c r="AB956" t="s">
        <v>14216</v>
      </c>
      <c r="AC956" t="s">
        <v>74</v>
      </c>
      <c r="AD956" t="s">
        <v>74</v>
      </c>
      <c r="AE956" t="s">
        <v>74</v>
      </c>
      <c r="AF956" t="s">
        <v>74</v>
      </c>
      <c r="AG956">
        <v>35</v>
      </c>
      <c r="AH956">
        <v>16</v>
      </c>
      <c r="AI956">
        <v>17</v>
      </c>
      <c r="AJ956">
        <v>0</v>
      </c>
      <c r="AK956">
        <v>2</v>
      </c>
      <c r="AL956" t="s">
        <v>14217</v>
      </c>
      <c r="AM956" t="s">
        <v>5054</v>
      </c>
      <c r="AN956" t="s">
        <v>14218</v>
      </c>
      <c r="AO956" t="s">
        <v>14219</v>
      </c>
      <c r="AP956" t="s">
        <v>14220</v>
      </c>
      <c r="AQ956" t="s">
        <v>74</v>
      </c>
      <c r="AR956" t="s">
        <v>14221</v>
      </c>
      <c r="AS956" t="s">
        <v>14222</v>
      </c>
      <c r="AT956" t="s">
        <v>13966</v>
      </c>
      <c r="AU956">
        <v>2005</v>
      </c>
      <c r="AV956">
        <v>38</v>
      </c>
      <c r="AW956">
        <v>7</v>
      </c>
      <c r="AX956" t="s">
        <v>74</v>
      </c>
      <c r="AY956" t="s">
        <v>74</v>
      </c>
      <c r="AZ956" t="s">
        <v>74</v>
      </c>
      <c r="BA956" t="s">
        <v>74</v>
      </c>
      <c r="BB956">
        <v>681</v>
      </c>
      <c r="BC956">
        <v>687</v>
      </c>
      <c r="BD956" t="s">
        <v>74</v>
      </c>
      <c r="BE956" t="s">
        <v>74</v>
      </c>
      <c r="BF956" t="s">
        <v>74</v>
      </c>
      <c r="BG956" t="s">
        <v>74</v>
      </c>
      <c r="BH956" t="s">
        <v>74</v>
      </c>
      <c r="BI956">
        <v>7</v>
      </c>
      <c r="BJ956" t="s">
        <v>7198</v>
      </c>
      <c r="BK956" t="s">
        <v>98</v>
      </c>
      <c r="BL956" t="s">
        <v>7199</v>
      </c>
      <c r="BM956" t="s">
        <v>14223</v>
      </c>
      <c r="BN956" t="s">
        <v>74</v>
      </c>
      <c r="BO956" t="s">
        <v>74</v>
      </c>
      <c r="BP956" t="s">
        <v>74</v>
      </c>
      <c r="BQ956" t="s">
        <v>74</v>
      </c>
      <c r="BR956" t="s">
        <v>101</v>
      </c>
      <c r="BS956" t="s">
        <v>14224</v>
      </c>
      <c r="BT956" t="str">
        <f>HYPERLINK("https%3A%2F%2Fwww.webofscience.com%2Fwos%2Fwoscc%2Ffull-record%2FWOS:000230702100001","View Full Record in Web of Science")</f>
        <v>View Full Record in Web of Science</v>
      </c>
    </row>
    <row r="957" spans="1:72" x14ac:dyDescent="0.15">
      <c r="A957" t="s">
        <v>72</v>
      </c>
      <c r="B957" t="s">
        <v>14225</v>
      </c>
      <c r="C957" t="s">
        <v>74</v>
      </c>
      <c r="D957" t="s">
        <v>74</v>
      </c>
      <c r="E957" t="s">
        <v>74</v>
      </c>
      <c r="F957" t="s">
        <v>14226</v>
      </c>
      <c r="G957" t="s">
        <v>74</v>
      </c>
      <c r="H957" t="s">
        <v>74</v>
      </c>
      <c r="I957" t="s">
        <v>14227</v>
      </c>
      <c r="J957" t="s">
        <v>14228</v>
      </c>
      <c r="K957" t="s">
        <v>74</v>
      </c>
      <c r="L957" t="s">
        <v>74</v>
      </c>
      <c r="M957" t="s">
        <v>77</v>
      </c>
      <c r="N957" t="s">
        <v>52</v>
      </c>
      <c r="O957" t="s">
        <v>14229</v>
      </c>
      <c r="P957" t="s">
        <v>14230</v>
      </c>
      <c r="Q957" t="s">
        <v>14231</v>
      </c>
      <c r="R957" t="s">
        <v>74</v>
      </c>
      <c r="S957" t="s">
        <v>74</v>
      </c>
      <c r="T957" t="s">
        <v>74</v>
      </c>
      <c r="U957" t="s">
        <v>74</v>
      </c>
      <c r="V957" t="s">
        <v>74</v>
      </c>
      <c r="W957" t="s">
        <v>14232</v>
      </c>
      <c r="X957" t="s">
        <v>14233</v>
      </c>
      <c r="Y957" t="s">
        <v>74</v>
      </c>
      <c r="Z957" t="s">
        <v>14234</v>
      </c>
      <c r="AA957" t="s">
        <v>14235</v>
      </c>
      <c r="AB957" t="s">
        <v>14236</v>
      </c>
      <c r="AC957" t="s">
        <v>74</v>
      </c>
      <c r="AD957" t="s">
        <v>74</v>
      </c>
      <c r="AE957" t="s">
        <v>74</v>
      </c>
      <c r="AF957" t="s">
        <v>74</v>
      </c>
      <c r="AG957">
        <v>0</v>
      </c>
      <c r="AH957">
        <v>0</v>
      </c>
      <c r="AI957">
        <v>0</v>
      </c>
      <c r="AJ957">
        <v>0</v>
      </c>
      <c r="AK957">
        <v>1</v>
      </c>
      <c r="AL957" t="s">
        <v>14237</v>
      </c>
      <c r="AM957" t="s">
        <v>12696</v>
      </c>
      <c r="AN957" t="s">
        <v>12697</v>
      </c>
      <c r="AO957" t="s">
        <v>14238</v>
      </c>
      <c r="AP957" t="s">
        <v>74</v>
      </c>
      <c r="AQ957" t="s">
        <v>74</v>
      </c>
      <c r="AR957" t="s">
        <v>14239</v>
      </c>
      <c r="AS957" t="s">
        <v>14240</v>
      </c>
      <c r="AT957" t="s">
        <v>13966</v>
      </c>
      <c r="AU957">
        <v>2005</v>
      </c>
      <c r="AV957">
        <v>272</v>
      </c>
      <c r="AW957" t="s">
        <v>74</v>
      </c>
      <c r="AX957" t="s">
        <v>74</v>
      </c>
      <c r="AY957">
        <v>1</v>
      </c>
      <c r="AZ957" t="s">
        <v>74</v>
      </c>
      <c r="BA957" t="s">
        <v>74</v>
      </c>
      <c r="BB957">
        <v>84</v>
      </c>
      <c r="BC957">
        <v>84</v>
      </c>
      <c r="BD957" t="s">
        <v>74</v>
      </c>
      <c r="BE957" t="s">
        <v>74</v>
      </c>
      <c r="BF957" t="s">
        <v>74</v>
      </c>
      <c r="BG957" t="s">
        <v>74</v>
      </c>
      <c r="BH957" t="s">
        <v>74</v>
      </c>
      <c r="BI957">
        <v>1</v>
      </c>
      <c r="BJ957" t="s">
        <v>124</v>
      </c>
      <c r="BK957" t="s">
        <v>1411</v>
      </c>
      <c r="BL957" t="s">
        <v>124</v>
      </c>
      <c r="BM957" t="s">
        <v>14241</v>
      </c>
      <c r="BN957" t="s">
        <v>74</v>
      </c>
      <c r="BO957" t="s">
        <v>74</v>
      </c>
      <c r="BP957" t="s">
        <v>74</v>
      </c>
      <c r="BQ957" t="s">
        <v>74</v>
      </c>
      <c r="BR957" t="s">
        <v>101</v>
      </c>
      <c r="BS957" t="s">
        <v>14242</v>
      </c>
      <c r="BT957" t="str">
        <f>HYPERLINK("https%3A%2F%2Fwww.webofscience.com%2Fwos%2Fwoscc%2Ffull-record%2FWOS:000234826100284","View Full Record in Web of Science")</f>
        <v>View Full Record in Web of Science</v>
      </c>
    </row>
    <row r="958" spans="1:72" x14ac:dyDescent="0.15">
      <c r="A958" t="s">
        <v>72</v>
      </c>
      <c r="B958" t="s">
        <v>14243</v>
      </c>
      <c r="C958" t="s">
        <v>74</v>
      </c>
      <c r="D958" t="s">
        <v>74</v>
      </c>
      <c r="E958" t="s">
        <v>74</v>
      </c>
      <c r="F958" t="s">
        <v>14243</v>
      </c>
      <c r="G958" t="s">
        <v>74</v>
      </c>
      <c r="H958" t="s">
        <v>74</v>
      </c>
      <c r="I958" t="s">
        <v>14244</v>
      </c>
      <c r="J958" t="s">
        <v>14245</v>
      </c>
      <c r="K958" t="s">
        <v>74</v>
      </c>
      <c r="L958" t="s">
        <v>74</v>
      </c>
      <c r="M958" t="s">
        <v>77</v>
      </c>
      <c r="N958" t="s">
        <v>5777</v>
      </c>
      <c r="O958" t="s">
        <v>74</v>
      </c>
      <c r="P958" t="s">
        <v>74</v>
      </c>
      <c r="Q958" t="s">
        <v>74</v>
      </c>
      <c r="R958" t="s">
        <v>74</v>
      </c>
      <c r="S958" t="s">
        <v>74</v>
      </c>
      <c r="T958" t="s">
        <v>74</v>
      </c>
      <c r="U958" t="s">
        <v>14246</v>
      </c>
      <c r="V958" t="s">
        <v>74</v>
      </c>
      <c r="W958" t="s">
        <v>14247</v>
      </c>
      <c r="X958" t="s">
        <v>14248</v>
      </c>
      <c r="Y958" t="s">
        <v>14249</v>
      </c>
      <c r="Z958" t="s">
        <v>14250</v>
      </c>
      <c r="AA958" t="s">
        <v>74</v>
      </c>
      <c r="AB958" t="s">
        <v>74</v>
      </c>
      <c r="AC958" t="s">
        <v>74</v>
      </c>
      <c r="AD958" t="s">
        <v>74</v>
      </c>
      <c r="AE958" t="s">
        <v>74</v>
      </c>
      <c r="AF958" t="s">
        <v>74</v>
      </c>
      <c r="AG958">
        <v>3</v>
      </c>
      <c r="AH958">
        <v>0</v>
      </c>
      <c r="AI958">
        <v>0</v>
      </c>
      <c r="AJ958">
        <v>0</v>
      </c>
      <c r="AK958">
        <v>3</v>
      </c>
      <c r="AL958" t="s">
        <v>13960</v>
      </c>
      <c r="AM958" t="s">
        <v>2026</v>
      </c>
      <c r="AN958" t="s">
        <v>13961</v>
      </c>
      <c r="AO958" t="s">
        <v>14251</v>
      </c>
      <c r="AP958" t="s">
        <v>74</v>
      </c>
      <c r="AQ958" t="s">
        <v>74</v>
      </c>
      <c r="AR958" t="s">
        <v>14245</v>
      </c>
      <c r="AS958" t="s">
        <v>14252</v>
      </c>
      <c r="AT958" t="s">
        <v>13966</v>
      </c>
      <c r="AU958">
        <v>2005</v>
      </c>
      <c r="AV958">
        <v>42</v>
      </c>
      <c r="AW958">
        <v>3</v>
      </c>
      <c r="AX958" t="s">
        <v>74</v>
      </c>
      <c r="AY958" t="s">
        <v>74</v>
      </c>
      <c r="AZ958" t="s">
        <v>74</v>
      </c>
      <c r="BA958" t="s">
        <v>74</v>
      </c>
      <c r="BB958">
        <v>117</v>
      </c>
      <c r="BC958">
        <v>123</v>
      </c>
      <c r="BD958" t="s">
        <v>74</v>
      </c>
      <c r="BE958" t="s">
        <v>14253</v>
      </c>
      <c r="BF958" t="str">
        <f>HYPERLINK("http://dx.doi.org/10.1002/gene.20148","http://dx.doi.org/10.1002/gene.20148")</f>
        <v>http://dx.doi.org/10.1002/gene.20148</v>
      </c>
      <c r="BG958" t="s">
        <v>74</v>
      </c>
      <c r="BH958" t="s">
        <v>74</v>
      </c>
      <c r="BI958">
        <v>7</v>
      </c>
      <c r="BJ958" t="s">
        <v>14254</v>
      </c>
      <c r="BK958" t="s">
        <v>98</v>
      </c>
      <c r="BL958" t="s">
        <v>14254</v>
      </c>
      <c r="BM958" t="s">
        <v>14255</v>
      </c>
      <c r="BN958">
        <v>15986441</v>
      </c>
      <c r="BO958" t="s">
        <v>74</v>
      </c>
      <c r="BP958" t="s">
        <v>74</v>
      </c>
      <c r="BQ958" t="s">
        <v>74</v>
      </c>
      <c r="BR958" t="s">
        <v>101</v>
      </c>
      <c r="BS958" t="s">
        <v>14256</v>
      </c>
      <c r="BT958" t="str">
        <f>HYPERLINK("https%3A%2F%2Fwww.webofscience.com%2Fwos%2Fwoscc%2Ffull-record%2FWOS:000230835900001","View Full Record in Web of Science")</f>
        <v>View Full Record in Web of Science</v>
      </c>
    </row>
    <row r="959" spans="1:72" x14ac:dyDescent="0.15">
      <c r="A959" t="s">
        <v>72</v>
      </c>
      <c r="B959" t="s">
        <v>14257</v>
      </c>
      <c r="C959" t="s">
        <v>74</v>
      </c>
      <c r="D959" t="s">
        <v>74</v>
      </c>
      <c r="E959" t="s">
        <v>74</v>
      </c>
      <c r="F959" t="s">
        <v>14258</v>
      </c>
      <c r="G959" t="s">
        <v>74</v>
      </c>
      <c r="H959" t="s">
        <v>74</v>
      </c>
      <c r="I959" t="s">
        <v>14259</v>
      </c>
      <c r="J959" t="s">
        <v>14260</v>
      </c>
      <c r="K959" t="s">
        <v>74</v>
      </c>
      <c r="L959" t="s">
        <v>74</v>
      </c>
      <c r="M959" t="s">
        <v>77</v>
      </c>
      <c r="N959" t="s">
        <v>289</v>
      </c>
      <c r="O959" t="s">
        <v>74</v>
      </c>
      <c r="P959" t="s">
        <v>74</v>
      </c>
      <c r="Q959" t="s">
        <v>74</v>
      </c>
      <c r="R959" t="s">
        <v>74</v>
      </c>
      <c r="S959" t="s">
        <v>74</v>
      </c>
      <c r="T959" t="s">
        <v>74</v>
      </c>
      <c r="U959" t="s">
        <v>14261</v>
      </c>
      <c r="V959" t="s">
        <v>14262</v>
      </c>
      <c r="W959" t="s">
        <v>14263</v>
      </c>
      <c r="X959" t="s">
        <v>14264</v>
      </c>
      <c r="Y959" t="s">
        <v>14265</v>
      </c>
      <c r="Z959" t="s">
        <v>14266</v>
      </c>
      <c r="AA959" t="s">
        <v>14267</v>
      </c>
      <c r="AB959" t="s">
        <v>14268</v>
      </c>
      <c r="AC959" t="s">
        <v>14269</v>
      </c>
      <c r="AD959" t="s">
        <v>3395</v>
      </c>
      <c r="AE959" t="s">
        <v>14270</v>
      </c>
      <c r="AF959" t="s">
        <v>74</v>
      </c>
      <c r="AG959">
        <v>112</v>
      </c>
      <c r="AH959">
        <v>105</v>
      </c>
      <c r="AI959">
        <v>128</v>
      </c>
      <c r="AJ959">
        <v>1</v>
      </c>
      <c r="AK959">
        <v>42</v>
      </c>
      <c r="AL959" t="s">
        <v>2025</v>
      </c>
      <c r="AM959" t="s">
        <v>2026</v>
      </c>
      <c r="AN959" t="s">
        <v>2027</v>
      </c>
      <c r="AO959" t="s">
        <v>14271</v>
      </c>
      <c r="AP959" t="s">
        <v>14272</v>
      </c>
      <c r="AQ959" t="s">
        <v>74</v>
      </c>
      <c r="AR959" t="s">
        <v>14260</v>
      </c>
      <c r="AS959" t="s">
        <v>14273</v>
      </c>
      <c r="AT959" t="s">
        <v>13966</v>
      </c>
      <c r="AU959">
        <v>2005</v>
      </c>
      <c r="AV959">
        <v>3</v>
      </c>
      <c r="AW959">
        <v>3</v>
      </c>
      <c r="AX959" t="s">
        <v>74</v>
      </c>
      <c r="AY959" t="s">
        <v>74</v>
      </c>
      <c r="AZ959" t="s">
        <v>74</v>
      </c>
      <c r="BA959" t="s">
        <v>74</v>
      </c>
      <c r="BB959">
        <v>145</v>
      </c>
      <c r="BC959">
        <v>165</v>
      </c>
      <c r="BD959" t="s">
        <v>74</v>
      </c>
      <c r="BE959" t="s">
        <v>14274</v>
      </c>
      <c r="BF959" t="str">
        <f>HYPERLINK("http://dx.doi.org/10.1111/j.1472-4669.2005.00050.x","http://dx.doi.org/10.1111/j.1472-4669.2005.00050.x")</f>
        <v>http://dx.doi.org/10.1111/j.1472-4669.2005.00050.x</v>
      </c>
      <c r="BG959" t="s">
        <v>74</v>
      </c>
      <c r="BH959" t="s">
        <v>74</v>
      </c>
      <c r="BI959">
        <v>21</v>
      </c>
      <c r="BJ959" t="s">
        <v>14275</v>
      </c>
      <c r="BK959" t="s">
        <v>98</v>
      </c>
      <c r="BL959" t="s">
        <v>14276</v>
      </c>
      <c r="BM959" t="s">
        <v>14277</v>
      </c>
      <c r="BN959" t="s">
        <v>74</v>
      </c>
      <c r="BO959" t="s">
        <v>74</v>
      </c>
      <c r="BP959" t="s">
        <v>74</v>
      </c>
      <c r="BQ959" t="s">
        <v>74</v>
      </c>
      <c r="BR959" t="s">
        <v>101</v>
      </c>
      <c r="BS959" t="s">
        <v>14278</v>
      </c>
      <c r="BT959" t="str">
        <f>HYPERLINK("https%3A%2F%2Fwww.webofscience.com%2Fwos%2Fwoscc%2Ffull-record%2FWOS:000207171900001","View Full Record in Web of Science")</f>
        <v>View Full Record in Web of Science</v>
      </c>
    </row>
    <row r="960" spans="1:72" x14ac:dyDescent="0.15">
      <c r="A960" t="s">
        <v>72</v>
      </c>
      <c r="B960" t="s">
        <v>14279</v>
      </c>
      <c r="C960" t="s">
        <v>74</v>
      </c>
      <c r="D960" t="s">
        <v>74</v>
      </c>
      <c r="E960" t="s">
        <v>74</v>
      </c>
      <c r="F960" t="s">
        <v>14279</v>
      </c>
      <c r="G960" t="s">
        <v>74</v>
      </c>
      <c r="H960" t="s">
        <v>74</v>
      </c>
      <c r="I960" t="s">
        <v>14280</v>
      </c>
      <c r="J960" t="s">
        <v>1472</v>
      </c>
      <c r="K960" t="s">
        <v>74</v>
      </c>
      <c r="L960" t="s">
        <v>74</v>
      </c>
      <c r="M960" t="s">
        <v>77</v>
      </c>
      <c r="N960" t="s">
        <v>78</v>
      </c>
      <c r="O960" t="s">
        <v>74</v>
      </c>
      <c r="P960" t="s">
        <v>74</v>
      </c>
      <c r="Q960" t="s">
        <v>74</v>
      </c>
      <c r="R960" t="s">
        <v>74</v>
      </c>
      <c r="S960" t="s">
        <v>74</v>
      </c>
      <c r="T960" t="s">
        <v>74</v>
      </c>
      <c r="U960" t="s">
        <v>14281</v>
      </c>
      <c r="V960" t="s">
        <v>14282</v>
      </c>
      <c r="W960" t="s">
        <v>14283</v>
      </c>
      <c r="X960" t="s">
        <v>14284</v>
      </c>
      <c r="Y960" t="s">
        <v>14285</v>
      </c>
      <c r="Z960" t="s">
        <v>14286</v>
      </c>
      <c r="AA960" t="s">
        <v>14287</v>
      </c>
      <c r="AB960" t="s">
        <v>14288</v>
      </c>
      <c r="AC960" t="s">
        <v>74</v>
      </c>
      <c r="AD960" t="s">
        <v>74</v>
      </c>
      <c r="AE960" t="s">
        <v>74</v>
      </c>
      <c r="AF960" t="s">
        <v>74</v>
      </c>
      <c r="AG960">
        <v>88</v>
      </c>
      <c r="AH960">
        <v>35</v>
      </c>
      <c r="AI960">
        <v>37</v>
      </c>
      <c r="AJ960">
        <v>0</v>
      </c>
      <c r="AK960">
        <v>8</v>
      </c>
      <c r="AL960" t="s">
        <v>622</v>
      </c>
      <c r="AM960" t="s">
        <v>140</v>
      </c>
      <c r="AN960" t="s">
        <v>623</v>
      </c>
      <c r="AO960" t="s">
        <v>1481</v>
      </c>
      <c r="AP960" t="s">
        <v>1482</v>
      </c>
      <c r="AQ960" t="s">
        <v>74</v>
      </c>
      <c r="AR960" t="s">
        <v>1483</v>
      </c>
      <c r="AS960" t="s">
        <v>1484</v>
      </c>
      <c r="AT960" t="s">
        <v>14189</v>
      </c>
      <c r="AU960">
        <v>2005</v>
      </c>
      <c r="AV960">
        <v>69</v>
      </c>
      <c r="AW960">
        <v>13</v>
      </c>
      <c r="AX960" t="s">
        <v>74</v>
      </c>
      <c r="AY960" t="s">
        <v>74</v>
      </c>
      <c r="AZ960" t="s">
        <v>74</v>
      </c>
      <c r="BA960" t="s">
        <v>74</v>
      </c>
      <c r="BB960">
        <v>3431</v>
      </c>
      <c r="BC960">
        <v>3443</v>
      </c>
      <c r="BD960" t="s">
        <v>74</v>
      </c>
      <c r="BE960" t="s">
        <v>14289</v>
      </c>
      <c r="BF960" t="str">
        <f>HYPERLINK("http://dx.doi.org/10.1016/j.gca.2004.12.021","http://dx.doi.org/10.1016/j.gca.2004.12.021")</f>
        <v>http://dx.doi.org/10.1016/j.gca.2004.12.021</v>
      </c>
      <c r="BG960" t="s">
        <v>74</v>
      </c>
      <c r="BH960" t="s">
        <v>74</v>
      </c>
      <c r="BI960">
        <v>13</v>
      </c>
      <c r="BJ960" t="s">
        <v>1348</v>
      </c>
      <c r="BK960" t="s">
        <v>98</v>
      </c>
      <c r="BL960" t="s">
        <v>1348</v>
      </c>
      <c r="BM960" t="s">
        <v>14290</v>
      </c>
      <c r="BN960" t="s">
        <v>74</v>
      </c>
      <c r="BO960" t="s">
        <v>74</v>
      </c>
      <c r="BP960" t="s">
        <v>74</v>
      </c>
      <c r="BQ960" t="s">
        <v>74</v>
      </c>
      <c r="BR960" t="s">
        <v>101</v>
      </c>
      <c r="BS960" t="s">
        <v>14291</v>
      </c>
      <c r="BT960" t="str">
        <f>HYPERLINK("https%3A%2F%2Fwww.webofscience.com%2Fwos%2Fwoscc%2Ffull-record%2FWOS:000230470500018","View Full Record in Web of Science")</f>
        <v>View Full Record in Web of Science</v>
      </c>
    </row>
    <row r="961" spans="1:72" x14ac:dyDescent="0.15">
      <c r="A961" t="s">
        <v>72</v>
      </c>
      <c r="B961" t="s">
        <v>14292</v>
      </c>
      <c r="C961" t="s">
        <v>74</v>
      </c>
      <c r="D961" t="s">
        <v>74</v>
      </c>
      <c r="E961" t="s">
        <v>74</v>
      </c>
      <c r="F961" t="s">
        <v>14292</v>
      </c>
      <c r="G961" t="s">
        <v>74</v>
      </c>
      <c r="H961" t="s">
        <v>74</v>
      </c>
      <c r="I961" t="s">
        <v>14293</v>
      </c>
      <c r="J961" t="s">
        <v>8576</v>
      </c>
      <c r="K961" t="s">
        <v>74</v>
      </c>
      <c r="L961" t="s">
        <v>74</v>
      </c>
      <c r="M961" t="s">
        <v>77</v>
      </c>
      <c r="N961" t="s">
        <v>78</v>
      </c>
      <c r="O961" t="s">
        <v>74</v>
      </c>
      <c r="P961" t="s">
        <v>74</v>
      </c>
      <c r="Q961" t="s">
        <v>74</v>
      </c>
      <c r="R961" t="s">
        <v>74</v>
      </c>
      <c r="S961" t="s">
        <v>74</v>
      </c>
      <c r="T961" t="s">
        <v>14294</v>
      </c>
      <c r="U961" t="s">
        <v>14295</v>
      </c>
      <c r="V961" t="s">
        <v>14296</v>
      </c>
      <c r="W961" t="s">
        <v>14297</v>
      </c>
      <c r="X961" t="s">
        <v>14298</v>
      </c>
      <c r="Y961" t="s">
        <v>7245</v>
      </c>
      <c r="Z961" t="s">
        <v>8582</v>
      </c>
      <c r="AA961" t="s">
        <v>8583</v>
      </c>
      <c r="AB961" t="s">
        <v>8584</v>
      </c>
      <c r="AC961" t="s">
        <v>74</v>
      </c>
      <c r="AD961" t="s">
        <v>74</v>
      </c>
      <c r="AE961" t="s">
        <v>74</v>
      </c>
      <c r="AF961" t="s">
        <v>74</v>
      </c>
      <c r="AG961">
        <v>100</v>
      </c>
      <c r="AH961">
        <v>15</v>
      </c>
      <c r="AI961">
        <v>17</v>
      </c>
      <c r="AJ961">
        <v>0</v>
      </c>
      <c r="AK961">
        <v>6</v>
      </c>
      <c r="AL961" t="s">
        <v>2239</v>
      </c>
      <c r="AM961" t="s">
        <v>89</v>
      </c>
      <c r="AN961" t="s">
        <v>4047</v>
      </c>
      <c r="AO961" t="s">
        <v>8585</v>
      </c>
      <c r="AP961" t="s">
        <v>8586</v>
      </c>
      <c r="AQ961" t="s">
        <v>74</v>
      </c>
      <c r="AR961" t="s">
        <v>8587</v>
      </c>
      <c r="AS961" t="s">
        <v>8588</v>
      </c>
      <c r="AT961" t="s">
        <v>13966</v>
      </c>
      <c r="AU961">
        <v>2005</v>
      </c>
      <c r="AV961">
        <v>142</v>
      </c>
      <c r="AW961">
        <v>4</v>
      </c>
      <c r="AX961" t="s">
        <v>74</v>
      </c>
      <c r="AY961" t="s">
        <v>74</v>
      </c>
      <c r="AZ961" t="s">
        <v>74</v>
      </c>
      <c r="BA961" t="s">
        <v>74</v>
      </c>
      <c r="BB961">
        <v>399</v>
      </c>
      <c r="BC961">
        <v>417</v>
      </c>
      <c r="BD961" t="s">
        <v>74</v>
      </c>
      <c r="BE961" t="s">
        <v>14299</v>
      </c>
      <c r="BF961" t="str">
        <f>HYPERLINK("http://dx.doi.org/10.1017/S0016756805000828","http://dx.doi.org/10.1017/S0016756805000828")</f>
        <v>http://dx.doi.org/10.1017/S0016756805000828</v>
      </c>
      <c r="BG961" t="s">
        <v>74</v>
      </c>
      <c r="BH961" t="s">
        <v>74</v>
      </c>
      <c r="BI961">
        <v>19</v>
      </c>
      <c r="BJ961" t="s">
        <v>1129</v>
      </c>
      <c r="BK961" t="s">
        <v>98</v>
      </c>
      <c r="BL961" t="s">
        <v>1130</v>
      </c>
      <c r="BM961" t="s">
        <v>14300</v>
      </c>
      <c r="BN961" t="s">
        <v>74</v>
      </c>
      <c r="BO961" t="s">
        <v>74</v>
      </c>
      <c r="BP961" t="s">
        <v>74</v>
      </c>
      <c r="BQ961" t="s">
        <v>74</v>
      </c>
      <c r="BR961" t="s">
        <v>101</v>
      </c>
      <c r="BS961" t="s">
        <v>14301</v>
      </c>
      <c r="BT961" t="str">
        <f>HYPERLINK("https%3A%2F%2Fwww.webofscience.com%2Fwos%2Fwoscc%2Ffull-record%2FWOS:000232757900006","View Full Record in Web of Science")</f>
        <v>View Full Record in Web of Science</v>
      </c>
    </row>
    <row r="962" spans="1:72" x14ac:dyDescent="0.15">
      <c r="A962" t="s">
        <v>72</v>
      </c>
      <c r="B962" t="s">
        <v>14302</v>
      </c>
      <c r="C962" t="s">
        <v>74</v>
      </c>
      <c r="D962" t="s">
        <v>74</v>
      </c>
      <c r="E962" t="s">
        <v>74</v>
      </c>
      <c r="F962" t="s">
        <v>14302</v>
      </c>
      <c r="G962" t="s">
        <v>74</v>
      </c>
      <c r="H962" t="s">
        <v>74</v>
      </c>
      <c r="I962" t="s">
        <v>14303</v>
      </c>
      <c r="J962" t="s">
        <v>8594</v>
      </c>
      <c r="K962" t="s">
        <v>74</v>
      </c>
      <c r="L962" t="s">
        <v>74</v>
      </c>
      <c r="M962" t="s">
        <v>77</v>
      </c>
      <c r="N962" t="s">
        <v>78</v>
      </c>
      <c r="O962" t="s">
        <v>74</v>
      </c>
      <c r="P962" t="s">
        <v>74</v>
      </c>
      <c r="Q962" t="s">
        <v>74</v>
      </c>
      <c r="R962" t="s">
        <v>74</v>
      </c>
      <c r="S962" t="s">
        <v>74</v>
      </c>
      <c r="T962" t="s">
        <v>14304</v>
      </c>
      <c r="U962" t="s">
        <v>14305</v>
      </c>
      <c r="V962" t="s">
        <v>14306</v>
      </c>
      <c r="W962" t="s">
        <v>14307</v>
      </c>
      <c r="X962" t="s">
        <v>14308</v>
      </c>
      <c r="Y962" t="s">
        <v>14309</v>
      </c>
      <c r="Z962" t="s">
        <v>14310</v>
      </c>
      <c r="AA962" t="s">
        <v>14311</v>
      </c>
      <c r="AB962" t="s">
        <v>14312</v>
      </c>
      <c r="AC962" t="s">
        <v>74</v>
      </c>
      <c r="AD962" t="s">
        <v>74</v>
      </c>
      <c r="AE962" t="s">
        <v>74</v>
      </c>
      <c r="AF962" t="s">
        <v>74</v>
      </c>
      <c r="AG962">
        <v>51</v>
      </c>
      <c r="AH962">
        <v>53</v>
      </c>
      <c r="AI962">
        <v>59</v>
      </c>
      <c r="AJ962">
        <v>0</v>
      </c>
      <c r="AK962">
        <v>10</v>
      </c>
      <c r="AL962" t="s">
        <v>1569</v>
      </c>
      <c r="AM962" t="s">
        <v>605</v>
      </c>
      <c r="AN962" t="s">
        <v>1570</v>
      </c>
      <c r="AO962" t="s">
        <v>8602</v>
      </c>
      <c r="AP962" t="s">
        <v>8603</v>
      </c>
      <c r="AQ962" t="s">
        <v>74</v>
      </c>
      <c r="AR962" t="s">
        <v>8604</v>
      </c>
      <c r="AS962" t="s">
        <v>8605</v>
      </c>
      <c r="AT962" t="s">
        <v>14313</v>
      </c>
      <c r="AU962">
        <v>2005</v>
      </c>
      <c r="AV962">
        <v>117</v>
      </c>
      <c r="AW962" t="s">
        <v>6050</v>
      </c>
      <c r="AX962" t="s">
        <v>74</v>
      </c>
      <c r="AY962" t="s">
        <v>74</v>
      </c>
      <c r="AZ962" t="s">
        <v>74</v>
      </c>
      <c r="BA962" t="s">
        <v>74</v>
      </c>
      <c r="BB962">
        <v>1081</v>
      </c>
      <c r="BC962">
        <v>1093</v>
      </c>
      <c r="BD962" t="s">
        <v>74</v>
      </c>
      <c r="BE962" t="s">
        <v>14314</v>
      </c>
      <c r="BF962" t="str">
        <f>HYPERLINK("http://dx.doi.org/10.1130/B25486.1","http://dx.doi.org/10.1130/B25486.1")</f>
        <v>http://dx.doi.org/10.1130/B25486.1</v>
      </c>
      <c r="BG962" t="s">
        <v>74</v>
      </c>
      <c r="BH962" t="s">
        <v>74</v>
      </c>
      <c r="BI962">
        <v>13</v>
      </c>
      <c r="BJ962" t="s">
        <v>1129</v>
      </c>
      <c r="BK962" t="s">
        <v>98</v>
      </c>
      <c r="BL962" t="s">
        <v>1130</v>
      </c>
      <c r="BM962" t="s">
        <v>14315</v>
      </c>
      <c r="BN962" t="s">
        <v>74</v>
      </c>
      <c r="BO962" t="s">
        <v>74</v>
      </c>
      <c r="BP962" t="s">
        <v>74</v>
      </c>
      <c r="BQ962" t="s">
        <v>74</v>
      </c>
      <c r="BR962" t="s">
        <v>101</v>
      </c>
      <c r="BS962" t="s">
        <v>14316</v>
      </c>
      <c r="BT962" t="str">
        <f>HYPERLINK("https%3A%2F%2Fwww.webofscience.com%2Fwos%2Fwoscc%2Ffull-record%2FWOS:000229991100017","View Full Record in Web of Science")</f>
        <v>View Full Record in Web of Science</v>
      </c>
    </row>
    <row r="963" spans="1:72" x14ac:dyDescent="0.15">
      <c r="A963" t="s">
        <v>72</v>
      </c>
      <c r="B963" t="s">
        <v>14317</v>
      </c>
      <c r="C963" t="s">
        <v>74</v>
      </c>
      <c r="D963" t="s">
        <v>74</v>
      </c>
      <c r="E963" t="s">
        <v>74</v>
      </c>
      <c r="F963" t="s">
        <v>14317</v>
      </c>
      <c r="G963" t="s">
        <v>74</v>
      </c>
      <c r="H963" t="s">
        <v>74</v>
      </c>
      <c r="I963" t="s">
        <v>14318</v>
      </c>
      <c r="J963" t="s">
        <v>1579</v>
      </c>
      <c r="K963" t="s">
        <v>74</v>
      </c>
      <c r="L963" t="s">
        <v>74</v>
      </c>
      <c r="M963" t="s">
        <v>77</v>
      </c>
      <c r="N963" t="s">
        <v>78</v>
      </c>
      <c r="O963" t="s">
        <v>74</v>
      </c>
      <c r="P963" t="s">
        <v>74</v>
      </c>
      <c r="Q963" t="s">
        <v>74</v>
      </c>
      <c r="R963" t="s">
        <v>74</v>
      </c>
      <c r="S963" t="s">
        <v>74</v>
      </c>
      <c r="T963" t="s">
        <v>74</v>
      </c>
      <c r="U963" t="s">
        <v>14319</v>
      </c>
      <c r="V963" t="s">
        <v>14320</v>
      </c>
      <c r="W963" t="s">
        <v>14321</v>
      </c>
      <c r="X963" t="s">
        <v>14322</v>
      </c>
      <c r="Y963" t="s">
        <v>14323</v>
      </c>
      <c r="Z963" t="s">
        <v>14324</v>
      </c>
      <c r="AA963" t="s">
        <v>14325</v>
      </c>
      <c r="AB963" t="s">
        <v>14326</v>
      </c>
      <c r="AC963" t="s">
        <v>74</v>
      </c>
      <c r="AD963" t="s">
        <v>74</v>
      </c>
      <c r="AE963" t="s">
        <v>74</v>
      </c>
      <c r="AF963" t="s">
        <v>74</v>
      </c>
      <c r="AG963">
        <v>11</v>
      </c>
      <c r="AH963">
        <v>3</v>
      </c>
      <c r="AI963">
        <v>3</v>
      </c>
      <c r="AJ963">
        <v>0</v>
      </c>
      <c r="AK963">
        <v>0</v>
      </c>
      <c r="AL963" t="s">
        <v>115</v>
      </c>
      <c r="AM963" t="s">
        <v>89</v>
      </c>
      <c r="AN963" t="s">
        <v>116</v>
      </c>
      <c r="AO963" t="s">
        <v>1585</v>
      </c>
      <c r="AP963" t="s">
        <v>1586</v>
      </c>
      <c r="AQ963" t="s">
        <v>74</v>
      </c>
      <c r="AR963" t="s">
        <v>1587</v>
      </c>
      <c r="AS963" t="s">
        <v>1588</v>
      </c>
      <c r="AT963" t="s">
        <v>14313</v>
      </c>
      <c r="AU963">
        <v>2005</v>
      </c>
      <c r="AV963">
        <v>45</v>
      </c>
      <c r="AW963">
        <v>4</v>
      </c>
      <c r="AX963" t="s">
        <v>74</v>
      </c>
      <c r="AY963" t="s">
        <v>74</v>
      </c>
      <c r="AZ963" t="s">
        <v>74</v>
      </c>
      <c r="BA963" t="s">
        <v>74</v>
      </c>
      <c r="BB963">
        <v>445</v>
      </c>
      <c r="BC963">
        <v>450</v>
      </c>
      <c r="BD963" t="s">
        <v>74</v>
      </c>
      <c r="BE963" t="s">
        <v>74</v>
      </c>
      <c r="BF963" t="s">
        <v>74</v>
      </c>
      <c r="BG963" t="s">
        <v>74</v>
      </c>
      <c r="BH963" t="s">
        <v>74</v>
      </c>
      <c r="BI963">
        <v>6</v>
      </c>
      <c r="BJ963" t="s">
        <v>1348</v>
      </c>
      <c r="BK963" t="s">
        <v>98</v>
      </c>
      <c r="BL963" t="s">
        <v>1348</v>
      </c>
      <c r="BM963" t="s">
        <v>14327</v>
      </c>
      <c r="BN963" t="s">
        <v>74</v>
      </c>
      <c r="BO963" t="s">
        <v>74</v>
      </c>
      <c r="BP963" t="s">
        <v>74</v>
      </c>
      <c r="BQ963" t="s">
        <v>74</v>
      </c>
      <c r="BR963" t="s">
        <v>101</v>
      </c>
      <c r="BS963" t="s">
        <v>14328</v>
      </c>
      <c r="BT963" t="str">
        <f>HYPERLINK("https%3A%2F%2Fwww.webofscience.com%2Fwos%2Fwoscc%2Ffull-record%2FWOS:000231402600007","View Full Record in Web of Science")</f>
        <v>View Full Record in Web of Science</v>
      </c>
    </row>
    <row r="964" spans="1:72" x14ac:dyDescent="0.15">
      <c r="A964" t="s">
        <v>72</v>
      </c>
      <c r="B964" t="s">
        <v>14329</v>
      </c>
      <c r="C964" t="s">
        <v>74</v>
      </c>
      <c r="D964" t="s">
        <v>74</v>
      </c>
      <c r="E964" t="s">
        <v>74</v>
      </c>
      <c r="F964" t="s">
        <v>14329</v>
      </c>
      <c r="G964" t="s">
        <v>74</v>
      </c>
      <c r="H964" t="s">
        <v>74</v>
      </c>
      <c r="I964" t="s">
        <v>14330</v>
      </c>
      <c r="J964" t="s">
        <v>1579</v>
      </c>
      <c r="K964" t="s">
        <v>74</v>
      </c>
      <c r="L964" t="s">
        <v>74</v>
      </c>
      <c r="M964" t="s">
        <v>77</v>
      </c>
      <c r="N964" t="s">
        <v>78</v>
      </c>
      <c r="O964" t="s">
        <v>74</v>
      </c>
      <c r="P964" t="s">
        <v>74</v>
      </c>
      <c r="Q964" t="s">
        <v>74</v>
      </c>
      <c r="R964" t="s">
        <v>74</v>
      </c>
      <c r="S964" t="s">
        <v>74</v>
      </c>
      <c r="T964" t="s">
        <v>74</v>
      </c>
      <c r="U964" t="s">
        <v>14331</v>
      </c>
      <c r="V964" t="s">
        <v>14332</v>
      </c>
      <c r="W964" t="s">
        <v>14333</v>
      </c>
      <c r="X964" t="s">
        <v>14334</v>
      </c>
      <c r="Y964" t="s">
        <v>14335</v>
      </c>
      <c r="Z964" t="s">
        <v>74</v>
      </c>
      <c r="AA964" t="s">
        <v>74</v>
      </c>
      <c r="AB964" t="s">
        <v>74</v>
      </c>
      <c r="AC964" t="s">
        <v>74</v>
      </c>
      <c r="AD964" t="s">
        <v>74</v>
      </c>
      <c r="AE964" t="s">
        <v>74</v>
      </c>
      <c r="AF964" t="s">
        <v>74</v>
      </c>
      <c r="AG964">
        <v>11</v>
      </c>
      <c r="AH964">
        <v>1</v>
      </c>
      <c r="AI964">
        <v>1</v>
      </c>
      <c r="AJ964">
        <v>0</v>
      </c>
      <c r="AK964">
        <v>0</v>
      </c>
      <c r="AL964" t="s">
        <v>11447</v>
      </c>
      <c r="AM964" t="s">
        <v>11448</v>
      </c>
      <c r="AN964" t="s">
        <v>11449</v>
      </c>
      <c r="AO964" t="s">
        <v>1585</v>
      </c>
      <c r="AP964" t="s">
        <v>74</v>
      </c>
      <c r="AQ964" t="s">
        <v>74</v>
      </c>
      <c r="AR964" t="s">
        <v>1587</v>
      </c>
      <c r="AS964" t="s">
        <v>1588</v>
      </c>
      <c r="AT964" t="s">
        <v>14313</v>
      </c>
      <c r="AU964">
        <v>2005</v>
      </c>
      <c r="AV964">
        <v>45</v>
      </c>
      <c r="AW964">
        <v>4</v>
      </c>
      <c r="AX964" t="s">
        <v>74</v>
      </c>
      <c r="AY964" t="s">
        <v>74</v>
      </c>
      <c r="AZ964" t="s">
        <v>74</v>
      </c>
      <c r="BA964" t="s">
        <v>74</v>
      </c>
      <c r="BB964">
        <v>519</v>
      </c>
      <c r="BC964">
        <v>525</v>
      </c>
      <c r="BD964" t="s">
        <v>74</v>
      </c>
      <c r="BE964" t="s">
        <v>74</v>
      </c>
      <c r="BF964" t="s">
        <v>74</v>
      </c>
      <c r="BG964" t="s">
        <v>74</v>
      </c>
      <c r="BH964" t="s">
        <v>74</v>
      </c>
      <c r="BI964">
        <v>7</v>
      </c>
      <c r="BJ964" t="s">
        <v>1348</v>
      </c>
      <c r="BK964" t="s">
        <v>98</v>
      </c>
      <c r="BL964" t="s">
        <v>1348</v>
      </c>
      <c r="BM964" t="s">
        <v>14327</v>
      </c>
      <c r="BN964" t="s">
        <v>74</v>
      </c>
      <c r="BO964" t="s">
        <v>74</v>
      </c>
      <c r="BP964" t="s">
        <v>74</v>
      </c>
      <c r="BQ964" t="s">
        <v>74</v>
      </c>
      <c r="BR964" t="s">
        <v>101</v>
      </c>
      <c r="BS964" t="s">
        <v>14336</v>
      </c>
      <c r="BT964" t="str">
        <f>HYPERLINK("https%3A%2F%2Fwww.webofscience.com%2Fwos%2Fwoscc%2Ffull-record%2FWOS:000231402600014","View Full Record in Web of Science")</f>
        <v>View Full Record in Web of Science</v>
      </c>
    </row>
    <row r="965" spans="1:72" x14ac:dyDescent="0.15">
      <c r="A965" t="s">
        <v>72</v>
      </c>
      <c r="B965" t="s">
        <v>14337</v>
      </c>
      <c r="C965" t="s">
        <v>74</v>
      </c>
      <c r="D965" t="s">
        <v>74</v>
      </c>
      <c r="E965" t="s">
        <v>74</v>
      </c>
      <c r="F965" t="s">
        <v>14337</v>
      </c>
      <c r="G965" t="s">
        <v>74</v>
      </c>
      <c r="H965" t="s">
        <v>74</v>
      </c>
      <c r="I965" t="s">
        <v>14338</v>
      </c>
      <c r="J965" t="s">
        <v>1866</v>
      </c>
      <c r="K965" t="s">
        <v>74</v>
      </c>
      <c r="L965" t="s">
        <v>74</v>
      </c>
      <c r="M965" t="s">
        <v>77</v>
      </c>
      <c r="N965" t="s">
        <v>78</v>
      </c>
      <c r="O965" t="s">
        <v>74</v>
      </c>
      <c r="P965" t="s">
        <v>74</v>
      </c>
      <c r="Q965" t="s">
        <v>74</v>
      </c>
      <c r="R965" t="s">
        <v>74</v>
      </c>
      <c r="S965" t="s">
        <v>74</v>
      </c>
      <c r="T965" t="s">
        <v>74</v>
      </c>
      <c r="U965" t="s">
        <v>14339</v>
      </c>
      <c r="V965" t="s">
        <v>14340</v>
      </c>
      <c r="W965" t="s">
        <v>14341</v>
      </c>
      <c r="X965" t="s">
        <v>4354</v>
      </c>
      <c r="Y965" t="s">
        <v>6025</v>
      </c>
      <c r="Z965" t="s">
        <v>14342</v>
      </c>
      <c r="AA965" t="s">
        <v>14343</v>
      </c>
      <c r="AB965" t="s">
        <v>14344</v>
      </c>
      <c r="AC965" t="s">
        <v>74</v>
      </c>
      <c r="AD965" t="s">
        <v>74</v>
      </c>
      <c r="AE965" t="s">
        <v>74</v>
      </c>
      <c r="AF965" t="s">
        <v>74</v>
      </c>
      <c r="AG965">
        <v>24</v>
      </c>
      <c r="AH965">
        <v>48</v>
      </c>
      <c r="AI965">
        <v>51</v>
      </c>
      <c r="AJ965">
        <v>2</v>
      </c>
      <c r="AK965">
        <v>34</v>
      </c>
      <c r="AL965" t="s">
        <v>2025</v>
      </c>
      <c r="AM965" t="s">
        <v>2026</v>
      </c>
      <c r="AN965" t="s">
        <v>2027</v>
      </c>
      <c r="AO965" t="s">
        <v>1875</v>
      </c>
      <c r="AP965" t="s">
        <v>14345</v>
      </c>
      <c r="AQ965" t="s">
        <v>74</v>
      </c>
      <c r="AR965" t="s">
        <v>1866</v>
      </c>
      <c r="AS965" t="s">
        <v>1876</v>
      </c>
      <c r="AT965" t="s">
        <v>13966</v>
      </c>
      <c r="AU965">
        <v>2005</v>
      </c>
      <c r="AV965">
        <v>147</v>
      </c>
      <c r="AW965">
        <v>3</v>
      </c>
      <c r="AX965" t="s">
        <v>74</v>
      </c>
      <c r="AY965" t="s">
        <v>74</v>
      </c>
      <c r="AZ965" t="s">
        <v>74</v>
      </c>
      <c r="BA965" t="s">
        <v>74</v>
      </c>
      <c r="BB965">
        <v>483</v>
      </c>
      <c r="BC965">
        <v>489</v>
      </c>
      <c r="BD965" t="s">
        <v>74</v>
      </c>
      <c r="BE965" t="s">
        <v>14346</v>
      </c>
      <c r="BF965" t="str">
        <f>HYPERLINK("http://dx.doi.org/10.1111/j.1474-919x.2005.00431.x","http://dx.doi.org/10.1111/j.1474-919x.2005.00431.x")</f>
        <v>http://dx.doi.org/10.1111/j.1474-919x.2005.00431.x</v>
      </c>
      <c r="BG965" t="s">
        <v>74</v>
      </c>
      <c r="BH965" t="s">
        <v>74</v>
      </c>
      <c r="BI965">
        <v>7</v>
      </c>
      <c r="BJ965" t="s">
        <v>1178</v>
      </c>
      <c r="BK965" t="s">
        <v>98</v>
      </c>
      <c r="BL965" t="s">
        <v>532</v>
      </c>
      <c r="BM965" t="s">
        <v>14347</v>
      </c>
      <c r="BN965" t="s">
        <v>74</v>
      </c>
      <c r="BO965" t="s">
        <v>74</v>
      </c>
      <c r="BP965" t="s">
        <v>74</v>
      </c>
      <c r="BQ965" t="s">
        <v>74</v>
      </c>
      <c r="BR965" t="s">
        <v>101</v>
      </c>
      <c r="BS965" t="s">
        <v>14348</v>
      </c>
      <c r="BT965" t="str">
        <f>HYPERLINK("https%3A%2F%2Fwww.webofscience.com%2Fwos%2Fwoscc%2Ffull-record%2FWOS:000230292100005","View Full Record in Web of Science")</f>
        <v>View Full Record in Web of Science</v>
      </c>
    </row>
    <row r="966" spans="1:72" x14ac:dyDescent="0.15">
      <c r="A966" t="s">
        <v>72</v>
      </c>
      <c r="B966" t="s">
        <v>14349</v>
      </c>
      <c r="C966" t="s">
        <v>74</v>
      </c>
      <c r="D966" t="s">
        <v>74</v>
      </c>
      <c r="E966" t="s">
        <v>74</v>
      </c>
      <c r="F966" t="s">
        <v>14349</v>
      </c>
      <c r="G966" t="s">
        <v>74</v>
      </c>
      <c r="H966" t="s">
        <v>74</v>
      </c>
      <c r="I966" t="s">
        <v>14350</v>
      </c>
      <c r="J966" t="s">
        <v>2038</v>
      </c>
      <c r="K966" t="s">
        <v>74</v>
      </c>
      <c r="L966" t="s">
        <v>74</v>
      </c>
      <c r="M966" t="s">
        <v>77</v>
      </c>
      <c r="N966" t="s">
        <v>78</v>
      </c>
      <c r="O966" t="s">
        <v>74</v>
      </c>
      <c r="P966" t="s">
        <v>74</v>
      </c>
      <c r="Q966" t="s">
        <v>74</v>
      </c>
      <c r="R966" t="s">
        <v>74</v>
      </c>
      <c r="S966" t="s">
        <v>74</v>
      </c>
      <c r="T966" t="s">
        <v>74</v>
      </c>
      <c r="U966" t="s">
        <v>14351</v>
      </c>
      <c r="V966" t="s">
        <v>14352</v>
      </c>
      <c r="W966" t="s">
        <v>12779</v>
      </c>
      <c r="X966" t="s">
        <v>4354</v>
      </c>
      <c r="Y966" t="s">
        <v>12347</v>
      </c>
      <c r="Z966" t="s">
        <v>12780</v>
      </c>
      <c r="AA966" t="s">
        <v>4356</v>
      </c>
      <c r="AB966" t="s">
        <v>14353</v>
      </c>
      <c r="AC966" t="s">
        <v>74</v>
      </c>
      <c r="AD966" t="s">
        <v>74</v>
      </c>
      <c r="AE966" t="s">
        <v>74</v>
      </c>
      <c r="AF966" t="s">
        <v>74</v>
      </c>
      <c r="AG966">
        <v>40</v>
      </c>
      <c r="AH966">
        <v>130</v>
      </c>
      <c r="AI966">
        <v>141</v>
      </c>
      <c r="AJ966">
        <v>2</v>
      </c>
      <c r="AK966">
        <v>16</v>
      </c>
      <c r="AL966" t="s">
        <v>2047</v>
      </c>
      <c r="AM966" t="s">
        <v>1055</v>
      </c>
      <c r="AN966" t="s">
        <v>2048</v>
      </c>
      <c r="AO966" t="s">
        <v>2049</v>
      </c>
      <c r="AP966" t="s">
        <v>2050</v>
      </c>
      <c r="AQ966" t="s">
        <v>74</v>
      </c>
      <c r="AR966" t="s">
        <v>2051</v>
      </c>
      <c r="AS966" t="s">
        <v>2052</v>
      </c>
      <c r="AT966" t="s">
        <v>13966</v>
      </c>
      <c r="AU966">
        <v>2005</v>
      </c>
      <c r="AV966">
        <v>55</v>
      </c>
      <c r="AW966" t="s">
        <v>74</v>
      </c>
      <c r="AX966">
        <v>4</v>
      </c>
      <c r="AY966" t="s">
        <v>74</v>
      </c>
      <c r="AZ966" t="s">
        <v>74</v>
      </c>
      <c r="BA966" t="s">
        <v>74</v>
      </c>
      <c r="BB966">
        <v>1471</v>
      </c>
      <c r="BC966">
        <v>1486</v>
      </c>
      <c r="BD966" t="s">
        <v>74</v>
      </c>
      <c r="BE966" t="s">
        <v>14354</v>
      </c>
      <c r="BF966" t="str">
        <f>HYPERLINK("http://dx.doi.org/10.1099/ijs.0.63527-0","http://dx.doi.org/10.1099/ijs.0.63527-0")</f>
        <v>http://dx.doi.org/10.1099/ijs.0.63527-0</v>
      </c>
      <c r="BG966" t="s">
        <v>74</v>
      </c>
      <c r="BH966" t="s">
        <v>74</v>
      </c>
      <c r="BI966">
        <v>16</v>
      </c>
      <c r="BJ966" t="s">
        <v>2054</v>
      </c>
      <c r="BK966" t="s">
        <v>98</v>
      </c>
      <c r="BL966" t="s">
        <v>2054</v>
      </c>
      <c r="BM966" t="s">
        <v>14355</v>
      </c>
      <c r="BN966">
        <v>16014468</v>
      </c>
      <c r="BO966" t="s">
        <v>1900</v>
      </c>
      <c r="BP966" t="s">
        <v>74</v>
      </c>
      <c r="BQ966" t="s">
        <v>74</v>
      </c>
      <c r="BR966" t="s">
        <v>101</v>
      </c>
      <c r="BS966" t="s">
        <v>14356</v>
      </c>
      <c r="BT966" t="str">
        <f>HYPERLINK("https%3A%2F%2Fwww.webofscience.com%2Fwos%2Fwoscc%2Ffull-record%2FWOS:000230828200012","View Full Record in Web of Science")</f>
        <v>View Full Record in Web of Science</v>
      </c>
    </row>
    <row r="967" spans="1:72" x14ac:dyDescent="0.15">
      <c r="A967" t="s">
        <v>72</v>
      </c>
      <c r="B967" t="s">
        <v>14357</v>
      </c>
      <c r="C967" t="s">
        <v>74</v>
      </c>
      <c r="D967" t="s">
        <v>74</v>
      </c>
      <c r="E967" t="s">
        <v>74</v>
      </c>
      <c r="F967" t="s">
        <v>14357</v>
      </c>
      <c r="G967" t="s">
        <v>74</v>
      </c>
      <c r="H967" t="s">
        <v>74</v>
      </c>
      <c r="I967" t="s">
        <v>14358</v>
      </c>
      <c r="J967" t="s">
        <v>11424</v>
      </c>
      <c r="K967" t="s">
        <v>74</v>
      </c>
      <c r="L967" t="s">
        <v>74</v>
      </c>
      <c r="M967" t="s">
        <v>77</v>
      </c>
      <c r="N967" t="s">
        <v>78</v>
      </c>
      <c r="O967" t="s">
        <v>74</v>
      </c>
      <c r="P967" t="s">
        <v>74</v>
      </c>
      <c r="Q967" t="s">
        <v>74</v>
      </c>
      <c r="R967" t="s">
        <v>74</v>
      </c>
      <c r="S967" t="s">
        <v>74</v>
      </c>
      <c r="T967" t="s">
        <v>74</v>
      </c>
      <c r="U967" t="s">
        <v>14359</v>
      </c>
      <c r="V967" t="s">
        <v>14360</v>
      </c>
      <c r="W967" t="s">
        <v>3912</v>
      </c>
      <c r="X967" t="s">
        <v>3419</v>
      </c>
      <c r="Y967" t="s">
        <v>14361</v>
      </c>
      <c r="Z967" t="s">
        <v>14362</v>
      </c>
      <c r="AA967" t="s">
        <v>74</v>
      </c>
      <c r="AB967" t="s">
        <v>74</v>
      </c>
      <c r="AC967" t="s">
        <v>74</v>
      </c>
      <c r="AD967" t="s">
        <v>74</v>
      </c>
      <c r="AE967" t="s">
        <v>74</v>
      </c>
      <c r="AF967" t="s">
        <v>74</v>
      </c>
      <c r="AG967">
        <v>41</v>
      </c>
      <c r="AH967">
        <v>5</v>
      </c>
      <c r="AI967">
        <v>5</v>
      </c>
      <c r="AJ967">
        <v>0</v>
      </c>
      <c r="AK967">
        <v>3</v>
      </c>
      <c r="AL967" t="s">
        <v>115</v>
      </c>
      <c r="AM967" t="s">
        <v>89</v>
      </c>
      <c r="AN967" t="s">
        <v>116</v>
      </c>
      <c r="AO967" t="s">
        <v>11432</v>
      </c>
      <c r="AP967" t="s">
        <v>11433</v>
      </c>
      <c r="AQ967" t="s">
        <v>74</v>
      </c>
      <c r="AR967" t="s">
        <v>11434</v>
      </c>
      <c r="AS967" t="s">
        <v>11435</v>
      </c>
      <c r="AT967" t="s">
        <v>14313</v>
      </c>
      <c r="AU967">
        <v>2005</v>
      </c>
      <c r="AV967">
        <v>41</v>
      </c>
      <c r="AW967">
        <v>4</v>
      </c>
      <c r="AX967" t="s">
        <v>74</v>
      </c>
      <c r="AY967" t="s">
        <v>74</v>
      </c>
      <c r="AZ967" t="s">
        <v>74</v>
      </c>
      <c r="BA967" t="s">
        <v>74</v>
      </c>
      <c r="BB967">
        <v>433</v>
      </c>
      <c r="BC967">
        <v>447</v>
      </c>
      <c r="BD967" t="s">
        <v>74</v>
      </c>
      <c r="BE967" t="s">
        <v>74</v>
      </c>
      <c r="BF967" t="s">
        <v>74</v>
      </c>
      <c r="BG967" t="s">
        <v>74</v>
      </c>
      <c r="BH967" t="s">
        <v>74</v>
      </c>
      <c r="BI967">
        <v>15</v>
      </c>
      <c r="BJ967" t="s">
        <v>3614</v>
      </c>
      <c r="BK967" t="s">
        <v>98</v>
      </c>
      <c r="BL967" t="s">
        <v>3614</v>
      </c>
      <c r="BM967" t="s">
        <v>14363</v>
      </c>
      <c r="BN967" t="s">
        <v>74</v>
      </c>
      <c r="BO967" t="s">
        <v>74</v>
      </c>
      <c r="BP967" t="s">
        <v>74</v>
      </c>
      <c r="BQ967" t="s">
        <v>74</v>
      </c>
      <c r="BR967" t="s">
        <v>101</v>
      </c>
      <c r="BS967" t="s">
        <v>14364</v>
      </c>
      <c r="BT967" t="str">
        <f>HYPERLINK("https%3A%2F%2Fwww.webofscience.com%2Fwos%2Fwoscc%2Ffull-record%2FWOS:000231255800003","View Full Record in Web of Science")</f>
        <v>View Full Record in Web of Science</v>
      </c>
    </row>
    <row r="968" spans="1:72" x14ac:dyDescent="0.15">
      <c r="A968" t="s">
        <v>72</v>
      </c>
      <c r="B968" t="s">
        <v>14365</v>
      </c>
      <c r="C968" t="s">
        <v>74</v>
      </c>
      <c r="D968" t="s">
        <v>74</v>
      </c>
      <c r="E968" t="s">
        <v>74</v>
      </c>
      <c r="F968" t="s">
        <v>14365</v>
      </c>
      <c r="G968" t="s">
        <v>74</v>
      </c>
      <c r="H968" t="s">
        <v>74</v>
      </c>
      <c r="I968" t="s">
        <v>14366</v>
      </c>
      <c r="J968" t="s">
        <v>8752</v>
      </c>
      <c r="K968" t="s">
        <v>74</v>
      </c>
      <c r="L968" t="s">
        <v>74</v>
      </c>
      <c r="M968" t="s">
        <v>77</v>
      </c>
      <c r="N968" t="s">
        <v>78</v>
      </c>
      <c r="O968" t="s">
        <v>74</v>
      </c>
      <c r="P968" t="s">
        <v>74</v>
      </c>
      <c r="Q968" t="s">
        <v>74</v>
      </c>
      <c r="R968" t="s">
        <v>74</v>
      </c>
      <c r="S968" t="s">
        <v>74</v>
      </c>
      <c r="T968" t="s">
        <v>14367</v>
      </c>
      <c r="U968" t="s">
        <v>14368</v>
      </c>
      <c r="V968" t="s">
        <v>14369</v>
      </c>
      <c r="W968" t="s">
        <v>14370</v>
      </c>
      <c r="X968" t="s">
        <v>14371</v>
      </c>
      <c r="Y968" t="s">
        <v>14372</v>
      </c>
      <c r="Z968" t="s">
        <v>14373</v>
      </c>
      <c r="AA968" t="s">
        <v>14374</v>
      </c>
      <c r="AB968" t="s">
        <v>14375</v>
      </c>
      <c r="AC968" t="s">
        <v>74</v>
      </c>
      <c r="AD968" t="s">
        <v>74</v>
      </c>
      <c r="AE968" t="s">
        <v>74</v>
      </c>
      <c r="AF968" t="s">
        <v>74</v>
      </c>
      <c r="AG968">
        <v>30</v>
      </c>
      <c r="AH968">
        <v>170</v>
      </c>
      <c r="AI968">
        <v>196</v>
      </c>
      <c r="AJ968">
        <v>2</v>
      </c>
      <c r="AK968">
        <v>88</v>
      </c>
      <c r="AL968" t="s">
        <v>1873</v>
      </c>
      <c r="AM968" t="s">
        <v>140</v>
      </c>
      <c r="AN968" t="s">
        <v>1874</v>
      </c>
      <c r="AO968" t="s">
        <v>8762</v>
      </c>
      <c r="AP968" t="s">
        <v>74</v>
      </c>
      <c r="AQ968" t="s">
        <v>74</v>
      </c>
      <c r="AR968" t="s">
        <v>8763</v>
      </c>
      <c r="AS968" t="s">
        <v>8764</v>
      </c>
      <c r="AT968" t="s">
        <v>13966</v>
      </c>
      <c r="AU968">
        <v>2005</v>
      </c>
      <c r="AV968">
        <v>74</v>
      </c>
      <c r="AW968">
        <v>4</v>
      </c>
      <c r="AX968" t="s">
        <v>74</v>
      </c>
      <c r="AY968" t="s">
        <v>74</v>
      </c>
      <c r="AZ968" t="s">
        <v>74</v>
      </c>
      <c r="BA968" t="s">
        <v>74</v>
      </c>
      <c r="BB968">
        <v>755</v>
      </c>
      <c r="BC968">
        <v>761</v>
      </c>
      <c r="BD968" t="s">
        <v>74</v>
      </c>
      <c r="BE968" t="s">
        <v>14376</v>
      </c>
      <c r="BF968" t="str">
        <f>HYPERLINK("http://dx.doi.org/10.1111/j.1365-2656.2005.00971.x","http://dx.doi.org/10.1111/j.1365-2656.2005.00971.x")</f>
        <v>http://dx.doi.org/10.1111/j.1365-2656.2005.00971.x</v>
      </c>
      <c r="BG968" t="s">
        <v>74</v>
      </c>
      <c r="BH968" t="s">
        <v>74</v>
      </c>
      <c r="BI968">
        <v>7</v>
      </c>
      <c r="BJ968" t="s">
        <v>5025</v>
      </c>
      <c r="BK968" t="s">
        <v>98</v>
      </c>
      <c r="BL968" t="s">
        <v>5026</v>
      </c>
      <c r="BM968" t="s">
        <v>14377</v>
      </c>
      <c r="BN968" t="s">
        <v>74</v>
      </c>
      <c r="BO968" t="s">
        <v>1900</v>
      </c>
      <c r="BP968" t="s">
        <v>74</v>
      </c>
      <c r="BQ968" t="s">
        <v>74</v>
      </c>
      <c r="BR968" t="s">
        <v>101</v>
      </c>
      <c r="BS968" t="s">
        <v>14378</v>
      </c>
      <c r="BT968" t="str">
        <f>HYPERLINK("https%3A%2F%2Fwww.webofscience.com%2Fwos%2Fwoscc%2Ffull-record%2FWOS:000230601800020","View Full Record in Web of Science")</f>
        <v>View Full Record in Web of Science</v>
      </c>
    </row>
    <row r="969" spans="1:72" x14ac:dyDescent="0.15">
      <c r="A969" t="s">
        <v>72</v>
      </c>
      <c r="B969" t="s">
        <v>14379</v>
      </c>
      <c r="C969" t="s">
        <v>74</v>
      </c>
      <c r="D969" t="s">
        <v>74</v>
      </c>
      <c r="E969" t="s">
        <v>74</v>
      </c>
      <c r="F969" t="s">
        <v>14379</v>
      </c>
      <c r="G969" t="s">
        <v>74</v>
      </c>
      <c r="H969" t="s">
        <v>74</v>
      </c>
      <c r="I969" t="s">
        <v>14380</v>
      </c>
      <c r="J969" t="s">
        <v>10041</v>
      </c>
      <c r="K969" t="s">
        <v>74</v>
      </c>
      <c r="L969" t="s">
        <v>74</v>
      </c>
      <c r="M969" t="s">
        <v>77</v>
      </c>
      <c r="N969" t="s">
        <v>78</v>
      </c>
      <c r="O969" t="s">
        <v>74</v>
      </c>
      <c r="P969" t="s">
        <v>74</v>
      </c>
      <c r="Q969" t="s">
        <v>74</v>
      </c>
      <c r="R969" t="s">
        <v>74</v>
      </c>
      <c r="S969" t="s">
        <v>74</v>
      </c>
      <c r="T969" t="s">
        <v>14381</v>
      </c>
      <c r="U969" t="s">
        <v>14382</v>
      </c>
      <c r="V969" t="s">
        <v>14383</v>
      </c>
      <c r="W969" t="s">
        <v>14384</v>
      </c>
      <c r="X969" t="s">
        <v>14385</v>
      </c>
      <c r="Y969" t="s">
        <v>14386</v>
      </c>
      <c r="Z969" t="s">
        <v>14387</v>
      </c>
      <c r="AA969" t="s">
        <v>14388</v>
      </c>
      <c r="AB969" t="s">
        <v>14389</v>
      </c>
      <c r="AC969" t="s">
        <v>74</v>
      </c>
      <c r="AD969" t="s">
        <v>74</v>
      </c>
      <c r="AE969" t="s">
        <v>74</v>
      </c>
      <c r="AF969" t="s">
        <v>74</v>
      </c>
      <c r="AG969">
        <v>59</v>
      </c>
      <c r="AH969">
        <v>45</v>
      </c>
      <c r="AI969">
        <v>62</v>
      </c>
      <c r="AJ969">
        <v>0</v>
      </c>
      <c r="AK969">
        <v>32</v>
      </c>
      <c r="AL969" t="s">
        <v>2025</v>
      </c>
      <c r="AM969" t="s">
        <v>2026</v>
      </c>
      <c r="AN969" t="s">
        <v>2027</v>
      </c>
      <c r="AO969" t="s">
        <v>10049</v>
      </c>
      <c r="AP969" t="s">
        <v>10050</v>
      </c>
      <c r="AQ969" t="s">
        <v>74</v>
      </c>
      <c r="AR969" t="s">
        <v>10051</v>
      </c>
      <c r="AS969" t="s">
        <v>10052</v>
      </c>
      <c r="AT969" t="s">
        <v>13966</v>
      </c>
      <c r="AU969">
        <v>2005</v>
      </c>
      <c r="AV969">
        <v>32</v>
      </c>
      <c r="AW969">
        <v>7</v>
      </c>
      <c r="AX969" t="s">
        <v>74</v>
      </c>
      <c r="AY969" t="s">
        <v>74</v>
      </c>
      <c r="AZ969" t="s">
        <v>74</v>
      </c>
      <c r="BA969" t="s">
        <v>74</v>
      </c>
      <c r="BB969">
        <v>1267</v>
      </c>
      <c r="BC969">
        <v>1279</v>
      </c>
      <c r="BD969" t="s">
        <v>74</v>
      </c>
      <c r="BE969" t="s">
        <v>14390</v>
      </c>
      <c r="BF969" t="str">
        <f>HYPERLINK("http://dx.doi.org/10.1111/j.1365-2699.2005.01281.x","http://dx.doi.org/10.1111/j.1365-2699.2005.01281.x")</f>
        <v>http://dx.doi.org/10.1111/j.1365-2699.2005.01281.x</v>
      </c>
      <c r="BG969" t="s">
        <v>74</v>
      </c>
      <c r="BH969" t="s">
        <v>74</v>
      </c>
      <c r="BI969">
        <v>13</v>
      </c>
      <c r="BJ969" t="s">
        <v>8668</v>
      </c>
      <c r="BK969" t="s">
        <v>98</v>
      </c>
      <c r="BL969" t="s">
        <v>8007</v>
      </c>
      <c r="BM969" t="s">
        <v>14391</v>
      </c>
      <c r="BN969" t="s">
        <v>74</v>
      </c>
      <c r="BO969" t="s">
        <v>74</v>
      </c>
      <c r="BP969" t="s">
        <v>74</v>
      </c>
      <c r="BQ969" t="s">
        <v>74</v>
      </c>
      <c r="BR969" t="s">
        <v>101</v>
      </c>
      <c r="BS969" t="s">
        <v>14392</v>
      </c>
      <c r="BT969" t="str">
        <f>HYPERLINK("https%3A%2F%2Fwww.webofscience.com%2Fwos%2Fwoscc%2Ffull-record%2FWOS:000229705900013","View Full Record in Web of Science")</f>
        <v>View Full Record in Web of Science</v>
      </c>
    </row>
    <row r="970" spans="1:72" x14ac:dyDescent="0.15">
      <c r="A970" t="s">
        <v>72</v>
      </c>
      <c r="B970" t="s">
        <v>14393</v>
      </c>
      <c r="C970" t="s">
        <v>74</v>
      </c>
      <c r="D970" t="s">
        <v>74</v>
      </c>
      <c r="E970" t="s">
        <v>74</v>
      </c>
      <c r="F970" t="s">
        <v>14393</v>
      </c>
      <c r="G970" t="s">
        <v>74</v>
      </c>
      <c r="H970" t="s">
        <v>74</v>
      </c>
      <c r="I970" t="s">
        <v>14394</v>
      </c>
      <c r="J970" t="s">
        <v>14395</v>
      </c>
      <c r="K970" t="s">
        <v>74</v>
      </c>
      <c r="L970" t="s">
        <v>74</v>
      </c>
      <c r="M970" t="s">
        <v>77</v>
      </c>
      <c r="N970" t="s">
        <v>78</v>
      </c>
      <c r="O970" t="s">
        <v>74</v>
      </c>
      <c r="P970" t="s">
        <v>74</v>
      </c>
      <c r="Q970" t="s">
        <v>74</v>
      </c>
      <c r="R970" t="s">
        <v>74</v>
      </c>
      <c r="S970" t="s">
        <v>74</v>
      </c>
      <c r="T970" t="s">
        <v>74</v>
      </c>
      <c r="U970" t="s">
        <v>14396</v>
      </c>
      <c r="V970" t="s">
        <v>74</v>
      </c>
      <c r="W970" t="s">
        <v>14397</v>
      </c>
      <c r="X970" t="s">
        <v>6632</v>
      </c>
      <c r="Y970" t="s">
        <v>14398</v>
      </c>
      <c r="Z970" t="s">
        <v>14399</v>
      </c>
      <c r="AA970" t="s">
        <v>74</v>
      </c>
      <c r="AB970" t="s">
        <v>74</v>
      </c>
      <c r="AC970" t="s">
        <v>74</v>
      </c>
      <c r="AD970" t="s">
        <v>74</v>
      </c>
      <c r="AE970" t="s">
        <v>74</v>
      </c>
      <c r="AF970" t="s">
        <v>74</v>
      </c>
      <c r="AG970">
        <v>42</v>
      </c>
      <c r="AH970">
        <v>2</v>
      </c>
      <c r="AI970">
        <v>2</v>
      </c>
      <c r="AJ970">
        <v>0</v>
      </c>
      <c r="AK970">
        <v>7</v>
      </c>
      <c r="AL970" t="s">
        <v>5368</v>
      </c>
      <c r="AM970" t="s">
        <v>2541</v>
      </c>
      <c r="AN970" t="s">
        <v>5369</v>
      </c>
      <c r="AO970" t="s">
        <v>14400</v>
      </c>
      <c r="AP970" t="s">
        <v>14401</v>
      </c>
      <c r="AQ970" t="s">
        <v>74</v>
      </c>
      <c r="AR970" t="s">
        <v>14402</v>
      </c>
      <c r="AS970" t="s">
        <v>14403</v>
      </c>
      <c r="AT970" t="s">
        <v>13966</v>
      </c>
      <c r="AU970">
        <v>2005</v>
      </c>
      <c r="AV970">
        <v>82</v>
      </c>
      <c r="AW970">
        <v>7</v>
      </c>
      <c r="AX970" t="s">
        <v>74</v>
      </c>
      <c r="AY970" t="s">
        <v>74</v>
      </c>
      <c r="AZ970" t="s">
        <v>74</v>
      </c>
      <c r="BA970" t="s">
        <v>74</v>
      </c>
      <c r="BB970">
        <v>1094</v>
      </c>
      <c r="BC970">
        <v>1098</v>
      </c>
      <c r="BD970" t="s">
        <v>74</v>
      </c>
      <c r="BE970" t="s">
        <v>14404</v>
      </c>
      <c r="BF970" t="str">
        <f>HYPERLINK("http://dx.doi.org/10.1021/ed082p1094","http://dx.doi.org/10.1021/ed082p1094")</f>
        <v>http://dx.doi.org/10.1021/ed082p1094</v>
      </c>
      <c r="BG970" t="s">
        <v>74</v>
      </c>
      <c r="BH970" t="s">
        <v>74</v>
      </c>
      <c r="BI970">
        <v>5</v>
      </c>
      <c r="BJ970" t="s">
        <v>14405</v>
      </c>
      <c r="BK970" t="s">
        <v>98</v>
      </c>
      <c r="BL970" t="s">
        <v>14406</v>
      </c>
      <c r="BM970" t="s">
        <v>14407</v>
      </c>
      <c r="BN970" t="s">
        <v>74</v>
      </c>
      <c r="BO970" t="s">
        <v>74</v>
      </c>
      <c r="BP970" t="s">
        <v>74</v>
      </c>
      <c r="BQ970" t="s">
        <v>74</v>
      </c>
      <c r="BR970" t="s">
        <v>101</v>
      </c>
      <c r="BS970" t="s">
        <v>14408</v>
      </c>
      <c r="BT970" t="str">
        <f>HYPERLINK("https%3A%2F%2Fwww.webofscience.com%2Fwos%2Fwoscc%2Ffull-record%2FWOS:000229773400040","View Full Record in Web of Science")</f>
        <v>View Full Record in Web of Science</v>
      </c>
    </row>
    <row r="971" spans="1:72" x14ac:dyDescent="0.15">
      <c r="A971" t="s">
        <v>72</v>
      </c>
      <c r="B971" t="s">
        <v>14409</v>
      </c>
      <c r="C971" t="s">
        <v>74</v>
      </c>
      <c r="D971" t="s">
        <v>74</v>
      </c>
      <c r="E971" t="s">
        <v>74</v>
      </c>
      <c r="F971" t="s">
        <v>14409</v>
      </c>
      <c r="G971" t="s">
        <v>74</v>
      </c>
      <c r="H971" t="s">
        <v>74</v>
      </c>
      <c r="I971" t="s">
        <v>14410</v>
      </c>
      <c r="J971" t="s">
        <v>8800</v>
      </c>
      <c r="K971" t="s">
        <v>74</v>
      </c>
      <c r="L971" t="s">
        <v>74</v>
      </c>
      <c r="M971" t="s">
        <v>77</v>
      </c>
      <c r="N971" t="s">
        <v>78</v>
      </c>
      <c r="O971" t="s">
        <v>74</v>
      </c>
      <c r="P971" t="s">
        <v>74</v>
      </c>
      <c r="Q971" t="s">
        <v>74</v>
      </c>
      <c r="R971" t="s">
        <v>74</v>
      </c>
      <c r="S971" t="s">
        <v>74</v>
      </c>
      <c r="T971" t="s">
        <v>74</v>
      </c>
      <c r="U971" t="s">
        <v>14411</v>
      </c>
      <c r="V971" t="s">
        <v>14412</v>
      </c>
      <c r="W971" t="s">
        <v>14413</v>
      </c>
      <c r="X971" t="s">
        <v>74</v>
      </c>
      <c r="Y971" t="s">
        <v>14414</v>
      </c>
      <c r="Z971" t="s">
        <v>14415</v>
      </c>
      <c r="AA971" t="s">
        <v>74</v>
      </c>
      <c r="AB971" t="s">
        <v>74</v>
      </c>
      <c r="AC971" t="s">
        <v>74</v>
      </c>
      <c r="AD971" t="s">
        <v>74</v>
      </c>
      <c r="AE971" t="s">
        <v>74</v>
      </c>
      <c r="AF971" t="s">
        <v>74</v>
      </c>
      <c r="AG971">
        <v>14</v>
      </c>
      <c r="AH971">
        <v>0</v>
      </c>
      <c r="AI971">
        <v>0</v>
      </c>
      <c r="AJ971">
        <v>1</v>
      </c>
      <c r="AK971">
        <v>1</v>
      </c>
      <c r="AL971" t="s">
        <v>6583</v>
      </c>
      <c r="AM971" t="s">
        <v>6584</v>
      </c>
      <c r="AN971" t="s">
        <v>6585</v>
      </c>
      <c r="AO971" t="s">
        <v>8807</v>
      </c>
      <c r="AP971" t="s">
        <v>74</v>
      </c>
      <c r="AQ971" t="s">
        <v>74</v>
      </c>
      <c r="AR971" t="s">
        <v>8809</v>
      </c>
      <c r="AS971" t="s">
        <v>8810</v>
      </c>
      <c r="AT971" t="s">
        <v>14189</v>
      </c>
      <c r="AU971">
        <v>2005</v>
      </c>
      <c r="AV971">
        <v>18</v>
      </c>
      <c r="AW971">
        <v>13</v>
      </c>
      <c r="AX971" t="s">
        <v>74</v>
      </c>
      <c r="AY971" t="s">
        <v>74</v>
      </c>
      <c r="AZ971" t="s">
        <v>74</v>
      </c>
      <c r="BA971" t="s">
        <v>74</v>
      </c>
      <c r="BB971">
        <v>2194</v>
      </c>
      <c r="BC971">
        <v>2198</v>
      </c>
      <c r="BD971" t="s">
        <v>74</v>
      </c>
      <c r="BE971" t="s">
        <v>14416</v>
      </c>
      <c r="BF971" t="str">
        <f>HYPERLINK("http://dx.doi.org/10.1175/JCLI3385.1","http://dx.doi.org/10.1175/JCLI3385.1")</f>
        <v>http://dx.doi.org/10.1175/JCLI3385.1</v>
      </c>
      <c r="BG971" t="s">
        <v>74</v>
      </c>
      <c r="BH971" t="s">
        <v>74</v>
      </c>
      <c r="BI971">
        <v>5</v>
      </c>
      <c r="BJ971" t="s">
        <v>2033</v>
      </c>
      <c r="BK971" t="s">
        <v>98</v>
      </c>
      <c r="BL971" t="s">
        <v>2033</v>
      </c>
      <c r="BM971" t="s">
        <v>14417</v>
      </c>
      <c r="BN971" t="s">
        <v>74</v>
      </c>
      <c r="BO971" t="s">
        <v>1132</v>
      </c>
      <c r="BP971" t="s">
        <v>74</v>
      </c>
      <c r="BQ971" t="s">
        <v>74</v>
      </c>
      <c r="BR971" t="s">
        <v>101</v>
      </c>
      <c r="BS971" t="s">
        <v>14418</v>
      </c>
      <c r="BT971" t="str">
        <f>HYPERLINK("https%3A%2F%2Fwww.webofscience.com%2Fwos%2Fwoscc%2Ffull-record%2FWOS:000230892100004","View Full Record in Web of Science")</f>
        <v>View Full Record in Web of Science</v>
      </c>
    </row>
    <row r="972" spans="1:72" x14ac:dyDescent="0.15">
      <c r="A972" t="s">
        <v>72</v>
      </c>
      <c r="B972" t="s">
        <v>14419</v>
      </c>
      <c r="C972" t="s">
        <v>74</v>
      </c>
      <c r="D972" t="s">
        <v>74</v>
      </c>
      <c r="E972" t="s">
        <v>74</v>
      </c>
      <c r="F972" t="s">
        <v>14419</v>
      </c>
      <c r="G972" t="s">
        <v>74</v>
      </c>
      <c r="H972" t="s">
        <v>74</v>
      </c>
      <c r="I972" t="s">
        <v>14420</v>
      </c>
      <c r="J972" t="s">
        <v>14421</v>
      </c>
      <c r="K972" t="s">
        <v>74</v>
      </c>
      <c r="L972" t="s">
        <v>74</v>
      </c>
      <c r="M972" t="s">
        <v>77</v>
      </c>
      <c r="N972" t="s">
        <v>78</v>
      </c>
      <c r="O972" t="s">
        <v>74</v>
      </c>
      <c r="P972" t="s">
        <v>74</v>
      </c>
      <c r="Q972" t="s">
        <v>74</v>
      </c>
      <c r="R972" t="s">
        <v>74</v>
      </c>
      <c r="S972" t="s">
        <v>74</v>
      </c>
      <c r="T972" t="s">
        <v>14422</v>
      </c>
      <c r="U972" t="s">
        <v>14423</v>
      </c>
      <c r="V972" t="s">
        <v>14424</v>
      </c>
      <c r="W972" t="s">
        <v>14425</v>
      </c>
      <c r="X972" t="s">
        <v>14426</v>
      </c>
      <c r="Y972" t="s">
        <v>14427</v>
      </c>
      <c r="Z972" t="s">
        <v>14428</v>
      </c>
      <c r="AA972" t="s">
        <v>74</v>
      </c>
      <c r="AB972" t="s">
        <v>74</v>
      </c>
      <c r="AC972" t="s">
        <v>74</v>
      </c>
      <c r="AD972" t="s">
        <v>74</v>
      </c>
      <c r="AE972" t="s">
        <v>74</v>
      </c>
      <c r="AF972" t="s">
        <v>74</v>
      </c>
      <c r="AG972">
        <v>30</v>
      </c>
      <c r="AH972">
        <v>9</v>
      </c>
      <c r="AI972">
        <v>10</v>
      </c>
      <c r="AJ972">
        <v>0</v>
      </c>
      <c r="AK972">
        <v>8</v>
      </c>
      <c r="AL972" t="s">
        <v>2025</v>
      </c>
      <c r="AM972" t="s">
        <v>2026</v>
      </c>
      <c r="AN972" t="s">
        <v>2027</v>
      </c>
      <c r="AO972" t="s">
        <v>14429</v>
      </c>
      <c r="AP972" t="s">
        <v>14430</v>
      </c>
      <c r="AQ972" t="s">
        <v>74</v>
      </c>
      <c r="AR972" t="s">
        <v>14431</v>
      </c>
      <c r="AS972" t="s">
        <v>14432</v>
      </c>
      <c r="AT972" t="s">
        <v>14313</v>
      </c>
      <c r="AU972">
        <v>2005</v>
      </c>
      <c r="AV972">
        <v>52</v>
      </c>
      <c r="AW972">
        <v>4</v>
      </c>
      <c r="AX972" t="s">
        <v>74</v>
      </c>
      <c r="AY972" t="s">
        <v>74</v>
      </c>
      <c r="AZ972" t="s">
        <v>74</v>
      </c>
      <c r="BA972" t="s">
        <v>74</v>
      </c>
      <c r="BB972">
        <v>298</v>
      </c>
      <c r="BC972">
        <v>309</v>
      </c>
      <c r="BD972" t="s">
        <v>74</v>
      </c>
      <c r="BE972" t="s">
        <v>14433</v>
      </c>
      <c r="BF972" t="str">
        <f>HYPERLINK("http://dx.doi.org/10.1111/j.1550-7408.2005.00046.x","http://dx.doi.org/10.1111/j.1550-7408.2005.00046.x")</f>
        <v>http://dx.doi.org/10.1111/j.1550-7408.2005.00046.x</v>
      </c>
      <c r="BG972" t="s">
        <v>74</v>
      </c>
      <c r="BH972" t="s">
        <v>74</v>
      </c>
      <c r="BI972">
        <v>12</v>
      </c>
      <c r="BJ972" t="s">
        <v>2054</v>
      </c>
      <c r="BK972" t="s">
        <v>98</v>
      </c>
      <c r="BL972" t="s">
        <v>2054</v>
      </c>
      <c r="BM972" t="s">
        <v>14434</v>
      </c>
      <c r="BN972">
        <v>16014007</v>
      </c>
      <c r="BO972" t="s">
        <v>74</v>
      </c>
      <c r="BP972" t="s">
        <v>74</v>
      </c>
      <c r="BQ972" t="s">
        <v>74</v>
      </c>
      <c r="BR972" t="s">
        <v>101</v>
      </c>
      <c r="BS972" t="s">
        <v>14435</v>
      </c>
      <c r="BT972" t="str">
        <f>HYPERLINK("https%3A%2F%2Fwww.webofscience.com%2Fwos%2Fwoscc%2Ffull-record%2FWOS:000230942000002","View Full Record in Web of Science")</f>
        <v>View Full Record in Web of Science</v>
      </c>
    </row>
    <row r="973" spans="1:72" x14ac:dyDescent="0.15">
      <c r="A973" t="s">
        <v>72</v>
      </c>
      <c r="B973" t="s">
        <v>14436</v>
      </c>
      <c r="C973" t="s">
        <v>74</v>
      </c>
      <c r="D973" t="s">
        <v>74</v>
      </c>
      <c r="E973" t="s">
        <v>74</v>
      </c>
      <c r="F973" t="s">
        <v>14436</v>
      </c>
      <c r="G973" t="s">
        <v>74</v>
      </c>
      <c r="H973" t="s">
        <v>74</v>
      </c>
      <c r="I973" t="s">
        <v>14437</v>
      </c>
      <c r="J973" t="s">
        <v>11510</v>
      </c>
      <c r="K973" t="s">
        <v>74</v>
      </c>
      <c r="L973" t="s">
        <v>74</v>
      </c>
      <c r="M973" t="s">
        <v>77</v>
      </c>
      <c r="N973" t="s">
        <v>78</v>
      </c>
      <c r="O973" t="s">
        <v>74</v>
      </c>
      <c r="P973" t="s">
        <v>74</v>
      </c>
      <c r="Q973" t="s">
        <v>74</v>
      </c>
      <c r="R973" t="s">
        <v>74</v>
      </c>
      <c r="S973" t="s">
        <v>74</v>
      </c>
      <c r="T973" t="s">
        <v>14438</v>
      </c>
      <c r="U973" t="s">
        <v>14439</v>
      </c>
      <c r="V973" t="s">
        <v>14440</v>
      </c>
      <c r="W973" t="s">
        <v>14441</v>
      </c>
      <c r="X973" t="s">
        <v>14442</v>
      </c>
      <c r="Y973" t="s">
        <v>14443</v>
      </c>
      <c r="Z973" t="s">
        <v>14444</v>
      </c>
      <c r="AA973" t="s">
        <v>14445</v>
      </c>
      <c r="AB973" t="s">
        <v>14446</v>
      </c>
      <c r="AC973" t="s">
        <v>74</v>
      </c>
      <c r="AD973" t="s">
        <v>74</v>
      </c>
      <c r="AE973" t="s">
        <v>74</v>
      </c>
      <c r="AF973" t="s">
        <v>74</v>
      </c>
      <c r="AG973">
        <v>60</v>
      </c>
      <c r="AH973">
        <v>36</v>
      </c>
      <c r="AI973">
        <v>42</v>
      </c>
      <c r="AJ973">
        <v>0</v>
      </c>
      <c r="AK973">
        <v>18</v>
      </c>
      <c r="AL973" t="s">
        <v>12986</v>
      </c>
      <c r="AM973" t="s">
        <v>2111</v>
      </c>
      <c r="AN973" t="s">
        <v>12987</v>
      </c>
      <c r="AO973" t="s">
        <v>11521</v>
      </c>
      <c r="AP973" t="s">
        <v>11522</v>
      </c>
      <c r="AQ973" t="s">
        <v>74</v>
      </c>
      <c r="AR973" t="s">
        <v>11523</v>
      </c>
      <c r="AS973" t="s">
        <v>11524</v>
      </c>
      <c r="AT973" t="s">
        <v>13966</v>
      </c>
      <c r="AU973">
        <v>2005</v>
      </c>
      <c r="AV973">
        <v>208</v>
      </c>
      <c r="AW973">
        <v>13</v>
      </c>
      <c r="AX973" t="s">
        <v>74</v>
      </c>
      <c r="AY973" t="s">
        <v>74</v>
      </c>
      <c r="AZ973" t="s">
        <v>74</v>
      </c>
      <c r="BA973" t="s">
        <v>74</v>
      </c>
      <c r="BB973">
        <v>2581</v>
      </c>
      <c r="BC973">
        <v>2593</v>
      </c>
      <c r="BD973" t="s">
        <v>74</v>
      </c>
      <c r="BE973" t="s">
        <v>14447</v>
      </c>
      <c r="BF973" t="str">
        <f>HYPERLINK("http://dx.doi.org/10.1242/jeb.01679","http://dx.doi.org/10.1242/jeb.01679")</f>
        <v>http://dx.doi.org/10.1242/jeb.01679</v>
      </c>
      <c r="BG973" t="s">
        <v>74</v>
      </c>
      <c r="BH973" t="s">
        <v>74</v>
      </c>
      <c r="BI973">
        <v>13</v>
      </c>
      <c r="BJ973" t="s">
        <v>5207</v>
      </c>
      <c r="BK973" t="s">
        <v>98</v>
      </c>
      <c r="BL973" t="s">
        <v>5208</v>
      </c>
      <c r="BM973" t="s">
        <v>14448</v>
      </c>
      <c r="BN973">
        <v>15961744</v>
      </c>
      <c r="BO973" t="s">
        <v>1900</v>
      </c>
      <c r="BP973" t="s">
        <v>74</v>
      </c>
      <c r="BQ973" t="s">
        <v>74</v>
      </c>
      <c r="BR973" t="s">
        <v>101</v>
      </c>
      <c r="BS973" t="s">
        <v>14449</v>
      </c>
      <c r="BT973" t="str">
        <f>HYPERLINK("https%3A%2F%2Fwww.webofscience.com%2Fwos%2Fwoscc%2Ffull-record%2FWOS:000231055500022","View Full Record in Web of Science")</f>
        <v>View Full Record in Web of Science</v>
      </c>
    </row>
    <row r="974" spans="1:72" x14ac:dyDescent="0.15">
      <c r="A974" t="s">
        <v>72</v>
      </c>
      <c r="B974" t="s">
        <v>14450</v>
      </c>
      <c r="C974" t="s">
        <v>74</v>
      </c>
      <c r="D974" t="s">
        <v>74</v>
      </c>
      <c r="E974" t="s">
        <v>74</v>
      </c>
      <c r="F974" t="s">
        <v>14450</v>
      </c>
      <c r="G974" t="s">
        <v>74</v>
      </c>
      <c r="H974" t="s">
        <v>74</v>
      </c>
      <c r="I974" t="s">
        <v>14451</v>
      </c>
      <c r="J974" t="s">
        <v>14452</v>
      </c>
      <c r="K974" t="s">
        <v>74</v>
      </c>
      <c r="L974" t="s">
        <v>74</v>
      </c>
      <c r="M974" t="s">
        <v>77</v>
      </c>
      <c r="N974" t="s">
        <v>78</v>
      </c>
      <c r="O974" t="s">
        <v>74</v>
      </c>
      <c r="P974" t="s">
        <v>74</v>
      </c>
      <c r="Q974" t="s">
        <v>74</v>
      </c>
      <c r="R974" t="s">
        <v>74</v>
      </c>
      <c r="S974" t="s">
        <v>74</v>
      </c>
      <c r="T974" t="s">
        <v>74</v>
      </c>
      <c r="U974" t="s">
        <v>14453</v>
      </c>
      <c r="V974" t="s">
        <v>14454</v>
      </c>
      <c r="W974" t="s">
        <v>14455</v>
      </c>
      <c r="X974" t="s">
        <v>2709</v>
      </c>
      <c r="Y974" t="s">
        <v>14456</v>
      </c>
      <c r="Z974" t="s">
        <v>14457</v>
      </c>
      <c r="AA974" t="s">
        <v>14458</v>
      </c>
      <c r="AB974" t="s">
        <v>14459</v>
      </c>
      <c r="AC974" t="s">
        <v>74</v>
      </c>
      <c r="AD974" t="s">
        <v>74</v>
      </c>
      <c r="AE974" t="s">
        <v>74</v>
      </c>
      <c r="AF974" t="s">
        <v>74</v>
      </c>
      <c r="AG974">
        <v>35</v>
      </c>
      <c r="AH974">
        <v>58</v>
      </c>
      <c r="AI974">
        <v>75</v>
      </c>
      <c r="AJ974">
        <v>1</v>
      </c>
      <c r="AK974">
        <v>45</v>
      </c>
      <c r="AL974" t="s">
        <v>6231</v>
      </c>
      <c r="AM974" t="s">
        <v>6232</v>
      </c>
      <c r="AN974" t="s">
        <v>6233</v>
      </c>
      <c r="AO974" t="s">
        <v>14460</v>
      </c>
      <c r="AP974" t="s">
        <v>14461</v>
      </c>
      <c r="AQ974" t="s">
        <v>74</v>
      </c>
      <c r="AR974" t="s">
        <v>14462</v>
      </c>
      <c r="AS974" t="s">
        <v>14463</v>
      </c>
      <c r="AT974" t="s">
        <v>13966</v>
      </c>
      <c r="AU974">
        <v>2005</v>
      </c>
      <c r="AV974">
        <v>96</v>
      </c>
      <c r="AW974">
        <v>4</v>
      </c>
      <c r="AX974" t="s">
        <v>74</v>
      </c>
      <c r="AY974" t="s">
        <v>74</v>
      </c>
      <c r="AZ974" t="s">
        <v>74</v>
      </c>
      <c r="BA974" t="s">
        <v>74</v>
      </c>
      <c r="BB974">
        <v>417</v>
      </c>
      <c r="BC974">
        <v>423</v>
      </c>
      <c r="BD974" t="s">
        <v>74</v>
      </c>
      <c r="BE974" t="s">
        <v>14464</v>
      </c>
      <c r="BF974" t="str">
        <f>HYPERLINK("http://dx.doi.org/10.1093/jhered/esi036","http://dx.doi.org/10.1093/jhered/esi036")</f>
        <v>http://dx.doi.org/10.1093/jhered/esi036</v>
      </c>
      <c r="BG974" t="s">
        <v>74</v>
      </c>
      <c r="BH974" t="s">
        <v>74</v>
      </c>
      <c r="BI974">
        <v>7</v>
      </c>
      <c r="BJ974" t="s">
        <v>14465</v>
      </c>
      <c r="BK974" t="s">
        <v>98</v>
      </c>
      <c r="BL974" t="s">
        <v>14465</v>
      </c>
      <c r="BM974" t="s">
        <v>14466</v>
      </c>
      <c r="BN974">
        <v>15743905</v>
      </c>
      <c r="BO974" t="s">
        <v>1900</v>
      </c>
      <c r="BP974" t="s">
        <v>74</v>
      </c>
      <c r="BQ974" t="s">
        <v>74</v>
      </c>
      <c r="BR974" t="s">
        <v>101</v>
      </c>
      <c r="BS974" t="s">
        <v>14467</v>
      </c>
      <c r="BT974" t="str">
        <f>HYPERLINK("https%3A%2F%2Fwww.webofscience.com%2Fwos%2Fwoscc%2Ffull-record%2FWOS:000230847000017","View Full Record in Web of Science")</f>
        <v>View Full Record in Web of Science</v>
      </c>
    </row>
    <row r="975" spans="1:72" x14ac:dyDescent="0.15">
      <c r="A975" t="s">
        <v>72</v>
      </c>
      <c r="B975" t="s">
        <v>14468</v>
      </c>
      <c r="C975" t="s">
        <v>74</v>
      </c>
      <c r="D975" t="s">
        <v>74</v>
      </c>
      <c r="E975" t="s">
        <v>74</v>
      </c>
      <c r="F975" t="s">
        <v>14468</v>
      </c>
      <c r="G975" t="s">
        <v>74</v>
      </c>
      <c r="H975" t="s">
        <v>74</v>
      </c>
      <c r="I975" t="s">
        <v>14469</v>
      </c>
      <c r="J975" t="s">
        <v>2389</v>
      </c>
      <c r="K975" t="s">
        <v>74</v>
      </c>
      <c r="L975" t="s">
        <v>74</v>
      </c>
      <c r="M975" t="s">
        <v>77</v>
      </c>
      <c r="N975" t="s">
        <v>78</v>
      </c>
      <c r="O975" t="s">
        <v>74</v>
      </c>
      <c r="P975" t="s">
        <v>74</v>
      </c>
      <c r="Q975" t="s">
        <v>74</v>
      </c>
      <c r="R975" t="s">
        <v>74</v>
      </c>
      <c r="S975" t="s">
        <v>74</v>
      </c>
      <c r="T975" t="s">
        <v>14470</v>
      </c>
      <c r="U975" t="s">
        <v>14471</v>
      </c>
      <c r="V975" t="s">
        <v>14472</v>
      </c>
      <c r="W975" t="s">
        <v>14473</v>
      </c>
      <c r="X975" t="s">
        <v>14474</v>
      </c>
      <c r="Y975" t="s">
        <v>14475</v>
      </c>
      <c r="Z975" t="s">
        <v>8661</v>
      </c>
      <c r="AA975" t="s">
        <v>8662</v>
      </c>
      <c r="AB975" t="s">
        <v>74</v>
      </c>
      <c r="AC975" t="s">
        <v>74</v>
      </c>
      <c r="AD975" t="s">
        <v>74</v>
      </c>
      <c r="AE975" t="s">
        <v>74</v>
      </c>
      <c r="AF975" t="s">
        <v>74</v>
      </c>
      <c r="AG975">
        <v>80</v>
      </c>
      <c r="AH975">
        <v>20</v>
      </c>
      <c r="AI975">
        <v>23</v>
      </c>
      <c r="AJ975">
        <v>1</v>
      </c>
      <c r="AK975">
        <v>30</v>
      </c>
      <c r="AL975" t="s">
        <v>622</v>
      </c>
      <c r="AM975" t="s">
        <v>140</v>
      </c>
      <c r="AN975" t="s">
        <v>623</v>
      </c>
      <c r="AO975" t="s">
        <v>2399</v>
      </c>
      <c r="AP975" t="s">
        <v>2400</v>
      </c>
      <c r="AQ975" t="s">
        <v>74</v>
      </c>
      <c r="AR975" t="s">
        <v>2401</v>
      </c>
      <c r="AS975" t="s">
        <v>2402</v>
      </c>
      <c r="AT975" t="s">
        <v>13966</v>
      </c>
      <c r="AU975">
        <v>2005</v>
      </c>
      <c r="AV975">
        <v>51</v>
      </c>
      <c r="AW975">
        <v>7</v>
      </c>
      <c r="AX975" t="s">
        <v>74</v>
      </c>
      <c r="AY975" t="s">
        <v>74</v>
      </c>
      <c r="AZ975" t="s">
        <v>74</v>
      </c>
      <c r="BA975" t="s">
        <v>74</v>
      </c>
      <c r="BB975">
        <v>789</v>
      </c>
      <c r="BC975">
        <v>801</v>
      </c>
      <c r="BD975" t="s">
        <v>74</v>
      </c>
      <c r="BE975" t="s">
        <v>14476</v>
      </c>
      <c r="BF975" t="str">
        <f>HYPERLINK("http://dx.doi.org/10.1016/j.jinsphys.2005.03.007","http://dx.doi.org/10.1016/j.jinsphys.2005.03.007")</f>
        <v>http://dx.doi.org/10.1016/j.jinsphys.2005.03.007</v>
      </c>
      <c r="BG975" t="s">
        <v>74</v>
      </c>
      <c r="BH975" t="s">
        <v>74</v>
      </c>
      <c r="BI975">
        <v>13</v>
      </c>
      <c r="BJ975" t="s">
        <v>2404</v>
      </c>
      <c r="BK975" t="s">
        <v>98</v>
      </c>
      <c r="BL975" t="s">
        <v>2404</v>
      </c>
      <c r="BM975" t="s">
        <v>14477</v>
      </c>
      <c r="BN975">
        <v>15907926</v>
      </c>
      <c r="BO975" t="s">
        <v>74</v>
      </c>
      <c r="BP975" t="s">
        <v>74</v>
      </c>
      <c r="BQ975" t="s">
        <v>74</v>
      </c>
      <c r="BR975" t="s">
        <v>101</v>
      </c>
      <c r="BS975" t="s">
        <v>14478</v>
      </c>
      <c r="BT975" t="str">
        <f>HYPERLINK("https%3A%2F%2Fwww.webofscience.com%2Fwos%2Fwoscc%2Ffull-record%2FWOS:000231717400006","View Full Record in Web of Science")</f>
        <v>View Full Record in Web of Science</v>
      </c>
    </row>
    <row r="976" spans="1:72" x14ac:dyDescent="0.15">
      <c r="A976" t="s">
        <v>72</v>
      </c>
      <c r="B976" t="s">
        <v>14479</v>
      </c>
      <c r="C976" t="s">
        <v>74</v>
      </c>
      <c r="D976" t="s">
        <v>74</v>
      </c>
      <c r="E976" t="s">
        <v>74</v>
      </c>
      <c r="F976" t="s">
        <v>14479</v>
      </c>
      <c r="G976" t="s">
        <v>74</v>
      </c>
      <c r="H976" t="s">
        <v>74</v>
      </c>
      <c r="I976" t="s">
        <v>14480</v>
      </c>
      <c r="J976" t="s">
        <v>8872</v>
      </c>
      <c r="K976" t="s">
        <v>74</v>
      </c>
      <c r="L976" t="s">
        <v>74</v>
      </c>
      <c r="M976" t="s">
        <v>77</v>
      </c>
      <c r="N976" t="s">
        <v>78</v>
      </c>
      <c r="O976" t="s">
        <v>74</v>
      </c>
      <c r="P976" t="s">
        <v>74</v>
      </c>
      <c r="Q976" t="s">
        <v>74</v>
      </c>
      <c r="R976" t="s">
        <v>74</v>
      </c>
      <c r="S976" t="s">
        <v>74</v>
      </c>
      <c r="T976" t="s">
        <v>74</v>
      </c>
      <c r="U976" t="s">
        <v>14481</v>
      </c>
      <c r="V976" t="s">
        <v>14482</v>
      </c>
      <c r="W976" t="s">
        <v>14483</v>
      </c>
      <c r="X976" t="s">
        <v>14484</v>
      </c>
      <c r="Y976" t="s">
        <v>14485</v>
      </c>
      <c r="Z976" t="s">
        <v>14486</v>
      </c>
      <c r="AA976" t="s">
        <v>74</v>
      </c>
      <c r="AB976" t="s">
        <v>74</v>
      </c>
      <c r="AC976" t="s">
        <v>74</v>
      </c>
      <c r="AD976" t="s">
        <v>74</v>
      </c>
      <c r="AE976" t="s">
        <v>74</v>
      </c>
      <c r="AF976" t="s">
        <v>74</v>
      </c>
      <c r="AG976">
        <v>31</v>
      </c>
      <c r="AH976">
        <v>30</v>
      </c>
      <c r="AI976">
        <v>33</v>
      </c>
      <c r="AJ976">
        <v>0</v>
      </c>
      <c r="AK976">
        <v>6</v>
      </c>
      <c r="AL976" t="s">
        <v>8879</v>
      </c>
      <c r="AM976" t="s">
        <v>8880</v>
      </c>
      <c r="AN976" t="s">
        <v>8881</v>
      </c>
      <c r="AO976" t="s">
        <v>8882</v>
      </c>
      <c r="AP976" t="s">
        <v>74</v>
      </c>
      <c r="AQ976" t="s">
        <v>74</v>
      </c>
      <c r="AR976" t="s">
        <v>8883</v>
      </c>
      <c r="AS976" t="s">
        <v>8884</v>
      </c>
      <c r="AT976" t="s">
        <v>13966</v>
      </c>
      <c r="AU976">
        <v>2005</v>
      </c>
      <c r="AV976">
        <v>63</v>
      </c>
      <c r="AW976">
        <v>4</v>
      </c>
      <c r="AX976" t="s">
        <v>74</v>
      </c>
      <c r="AY976" t="s">
        <v>74</v>
      </c>
      <c r="AZ976" t="s">
        <v>74</v>
      </c>
      <c r="BA976" t="s">
        <v>74</v>
      </c>
      <c r="BB976">
        <v>789</v>
      </c>
      <c r="BC976">
        <v>812</v>
      </c>
      <c r="BD976" t="s">
        <v>74</v>
      </c>
      <c r="BE976" t="s">
        <v>14487</v>
      </c>
      <c r="BF976" t="str">
        <f>HYPERLINK("http://dx.doi.org/10.1357/0022240054663196","http://dx.doi.org/10.1357/0022240054663196")</f>
        <v>http://dx.doi.org/10.1357/0022240054663196</v>
      </c>
      <c r="BG976" t="s">
        <v>74</v>
      </c>
      <c r="BH976" t="s">
        <v>74</v>
      </c>
      <c r="BI976">
        <v>24</v>
      </c>
      <c r="BJ976" t="s">
        <v>629</v>
      </c>
      <c r="BK976" t="s">
        <v>98</v>
      </c>
      <c r="BL976" t="s">
        <v>629</v>
      </c>
      <c r="BM976" t="s">
        <v>14488</v>
      </c>
      <c r="BN976" t="s">
        <v>74</v>
      </c>
      <c r="BO976" t="s">
        <v>74</v>
      </c>
      <c r="BP976" t="s">
        <v>74</v>
      </c>
      <c r="BQ976" t="s">
        <v>74</v>
      </c>
      <c r="BR976" t="s">
        <v>101</v>
      </c>
      <c r="BS976" t="s">
        <v>14489</v>
      </c>
      <c r="BT976" t="str">
        <f>HYPERLINK("https%3A%2F%2Fwww.webofscience.com%2Fwos%2Fwoscc%2Ffull-record%2FWOS:000231322900006","View Full Record in Web of Science")</f>
        <v>View Full Record in Web of Science</v>
      </c>
    </row>
    <row r="977" spans="1:72" x14ac:dyDescent="0.15">
      <c r="A977" t="s">
        <v>72</v>
      </c>
      <c r="B977" t="s">
        <v>14490</v>
      </c>
      <c r="C977" t="s">
        <v>74</v>
      </c>
      <c r="D977" t="s">
        <v>74</v>
      </c>
      <c r="E977" t="s">
        <v>74</v>
      </c>
      <c r="F977" t="s">
        <v>14490</v>
      </c>
      <c r="G977" t="s">
        <v>74</v>
      </c>
      <c r="H977" t="s">
        <v>74</v>
      </c>
      <c r="I977" t="s">
        <v>14491</v>
      </c>
      <c r="J977" t="s">
        <v>14492</v>
      </c>
      <c r="K977" t="s">
        <v>74</v>
      </c>
      <c r="L977" t="s">
        <v>74</v>
      </c>
      <c r="M977" t="s">
        <v>77</v>
      </c>
      <c r="N977" t="s">
        <v>78</v>
      </c>
      <c r="O977" t="s">
        <v>74</v>
      </c>
      <c r="P977" t="s">
        <v>74</v>
      </c>
      <c r="Q977" t="s">
        <v>74</v>
      </c>
      <c r="R977" t="s">
        <v>74</v>
      </c>
      <c r="S977" t="s">
        <v>74</v>
      </c>
      <c r="T977" t="s">
        <v>74</v>
      </c>
      <c r="U977" t="s">
        <v>14493</v>
      </c>
      <c r="V977" t="s">
        <v>14494</v>
      </c>
      <c r="W977" t="s">
        <v>14495</v>
      </c>
      <c r="X977" t="s">
        <v>14496</v>
      </c>
      <c r="Y977" t="s">
        <v>14497</v>
      </c>
      <c r="Z977" t="s">
        <v>14498</v>
      </c>
      <c r="AA977" t="s">
        <v>14499</v>
      </c>
      <c r="AB977" t="s">
        <v>14500</v>
      </c>
      <c r="AC977" t="s">
        <v>74</v>
      </c>
      <c r="AD977" t="s">
        <v>74</v>
      </c>
      <c r="AE977" t="s">
        <v>74</v>
      </c>
      <c r="AF977" t="s">
        <v>74</v>
      </c>
      <c r="AG977">
        <v>18</v>
      </c>
      <c r="AH977">
        <v>32</v>
      </c>
      <c r="AI977">
        <v>33</v>
      </c>
      <c r="AJ977">
        <v>0</v>
      </c>
      <c r="AK977">
        <v>9</v>
      </c>
      <c r="AL977" t="s">
        <v>5368</v>
      </c>
      <c r="AM977" t="s">
        <v>2541</v>
      </c>
      <c r="AN977" t="s">
        <v>5369</v>
      </c>
      <c r="AO977" t="s">
        <v>14501</v>
      </c>
      <c r="AP977" t="s">
        <v>14502</v>
      </c>
      <c r="AQ977" t="s">
        <v>74</v>
      </c>
      <c r="AR977" t="s">
        <v>14503</v>
      </c>
      <c r="AS977" t="s">
        <v>14504</v>
      </c>
      <c r="AT977" t="s">
        <v>13966</v>
      </c>
      <c r="AU977">
        <v>2005</v>
      </c>
      <c r="AV977">
        <v>68</v>
      </c>
      <c r="AW977">
        <v>7</v>
      </c>
      <c r="AX977" t="s">
        <v>74</v>
      </c>
      <c r="AY977" t="s">
        <v>74</v>
      </c>
      <c r="AZ977" t="s">
        <v>74</v>
      </c>
      <c r="BA977" t="s">
        <v>74</v>
      </c>
      <c r="BB977">
        <v>1111</v>
      </c>
      <c r="BC977">
        <v>1115</v>
      </c>
      <c r="BD977" t="s">
        <v>74</v>
      </c>
      <c r="BE977" t="s">
        <v>14505</v>
      </c>
      <c r="BF977" t="str">
        <f>HYPERLINK("http://dx.doi.org/10.1021/np050080q","http://dx.doi.org/10.1021/np050080q")</f>
        <v>http://dx.doi.org/10.1021/np050080q</v>
      </c>
      <c r="BG977" t="s">
        <v>74</v>
      </c>
      <c r="BH977" t="s">
        <v>74</v>
      </c>
      <c r="BI977">
        <v>5</v>
      </c>
      <c r="BJ977" t="s">
        <v>14506</v>
      </c>
      <c r="BK977" t="s">
        <v>14507</v>
      </c>
      <c r="BL977" t="s">
        <v>14508</v>
      </c>
      <c r="BM977" t="s">
        <v>14509</v>
      </c>
      <c r="BN977">
        <v>16038562</v>
      </c>
      <c r="BO977" t="s">
        <v>74</v>
      </c>
      <c r="BP977" t="s">
        <v>74</v>
      </c>
      <c r="BQ977" t="s">
        <v>74</v>
      </c>
      <c r="BR977" t="s">
        <v>101</v>
      </c>
      <c r="BS977" t="s">
        <v>14510</v>
      </c>
      <c r="BT977" t="str">
        <f>HYPERLINK("https%3A%2F%2Fwww.webofscience.com%2Fwos%2Fwoscc%2Ffull-record%2FWOS:000230706800030","View Full Record in Web of Science")</f>
        <v>View Full Record in Web of Science</v>
      </c>
    </row>
    <row r="978" spans="1:72" x14ac:dyDescent="0.15">
      <c r="A978" t="s">
        <v>72</v>
      </c>
      <c r="B978" t="s">
        <v>14511</v>
      </c>
      <c r="C978" t="s">
        <v>74</v>
      </c>
      <c r="D978" t="s">
        <v>74</v>
      </c>
      <c r="E978" t="s">
        <v>74</v>
      </c>
      <c r="F978" t="s">
        <v>14511</v>
      </c>
      <c r="G978" t="s">
        <v>74</v>
      </c>
      <c r="H978" t="s">
        <v>74</v>
      </c>
      <c r="I978" t="s">
        <v>14512</v>
      </c>
      <c r="J978" t="s">
        <v>13056</v>
      </c>
      <c r="K978" t="s">
        <v>74</v>
      </c>
      <c r="L978" t="s">
        <v>74</v>
      </c>
      <c r="M978" t="s">
        <v>77</v>
      </c>
      <c r="N978" t="s">
        <v>289</v>
      </c>
      <c r="O978" t="s">
        <v>74</v>
      </c>
      <c r="P978" t="s">
        <v>74</v>
      </c>
      <c r="Q978" t="s">
        <v>74</v>
      </c>
      <c r="R978" t="s">
        <v>74</v>
      </c>
      <c r="S978" t="s">
        <v>74</v>
      </c>
      <c r="T978" t="s">
        <v>14513</v>
      </c>
      <c r="U978" t="s">
        <v>14514</v>
      </c>
      <c r="V978" t="s">
        <v>14515</v>
      </c>
      <c r="W978" t="s">
        <v>14516</v>
      </c>
      <c r="X978" t="s">
        <v>14517</v>
      </c>
      <c r="Y978" t="s">
        <v>5407</v>
      </c>
      <c r="Z978" t="s">
        <v>14518</v>
      </c>
      <c r="AA978" t="s">
        <v>74</v>
      </c>
      <c r="AB978" t="s">
        <v>14519</v>
      </c>
      <c r="AC978" t="s">
        <v>74</v>
      </c>
      <c r="AD978" t="s">
        <v>74</v>
      </c>
      <c r="AE978" t="s">
        <v>74</v>
      </c>
      <c r="AF978" t="s">
        <v>74</v>
      </c>
      <c r="AG978">
        <v>112</v>
      </c>
      <c r="AH978">
        <v>68</v>
      </c>
      <c r="AI978">
        <v>75</v>
      </c>
      <c r="AJ978">
        <v>3</v>
      </c>
      <c r="AK978">
        <v>28</v>
      </c>
      <c r="AL978" t="s">
        <v>1891</v>
      </c>
      <c r="AM978" t="s">
        <v>140</v>
      </c>
      <c r="AN978" t="s">
        <v>1892</v>
      </c>
      <c r="AO978" t="s">
        <v>13066</v>
      </c>
      <c r="AP978" t="s">
        <v>13067</v>
      </c>
      <c r="AQ978" t="s">
        <v>74</v>
      </c>
      <c r="AR978" t="s">
        <v>13068</v>
      </c>
      <c r="AS978" t="s">
        <v>13069</v>
      </c>
      <c r="AT978" t="s">
        <v>13966</v>
      </c>
      <c r="AU978">
        <v>2005</v>
      </c>
      <c r="AV978">
        <v>46</v>
      </c>
      <c r="AW978">
        <v>7</v>
      </c>
      <c r="AX978" t="s">
        <v>74</v>
      </c>
      <c r="AY978" t="s">
        <v>74</v>
      </c>
      <c r="AZ978" t="s">
        <v>74</v>
      </c>
      <c r="BA978" t="s">
        <v>74</v>
      </c>
      <c r="BB978">
        <v>1309</v>
      </c>
      <c r="BC978">
        <v>1344</v>
      </c>
      <c r="BD978" t="s">
        <v>74</v>
      </c>
      <c r="BE978" t="s">
        <v>14520</v>
      </c>
      <c r="BF978" t="str">
        <f>HYPERLINK("http://dx.doi.org/10.1093/petrology/egi016","http://dx.doi.org/10.1093/petrology/egi016")</f>
        <v>http://dx.doi.org/10.1093/petrology/egi016</v>
      </c>
      <c r="BG978" t="s">
        <v>74</v>
      </c>
      <c r="BH978" t="s">
        <v>74</v>
      </c>
      <c r="BI978">
        <v>36</v>
      </c>
      <c r="BJ978" t="s">
        <v>1348</v>
      </c>
      <c r="BK978" t="s">
        <v>98</v>
      </c>
      <c r="BL978" t="s">
        <v>1348</v>
      </c>
      <c r="BM978" t="s">
        <v>14521</v>
      </c>
      <c r="BN978" t="s">
        <v>74</v>
      </c>
      <c r="BO978" t="s">
        <v>1900</v>
      </c>
      <c r="BP978" t="s">
        <v>74</v>
      </c>
      <c r="BQ978" t="s">
        <v>74</v>
      </c>
      <c r="BR978" t="s">
        <v>101</v>
      </c>
      <c r="BS978" t="s">
        <v>14522</v>
      </c>
      <c r="BT978" t="str">
        <f>HYPERLINK("https%3A%2F%2Fwww.webofscience.com%2Fwos%2Fwoscc%2Ffull-record%2FWOS:000230341900001","View Full Record in Web of Science")</f>
        <v>View Full Record in Web of Science</v>
      </c>
    </row>
    <row r="979" spans="1:72" x14ac:dyDescent="0.15">
      <c r="A979" t="s">
        <v>72</v>
      </c>
      <c r="B979" t="s">
        <v>14523</v>
      </c>
      <c r="C979" t="s">
        <v>74</v>
      </c>
      <c r="D979" t="s">
        <v>74</v>
      </c>
      <c r="E979" t="s">
        <v>74</v>
      </c>
      <c r="F979" t="s">
        <v>14523</v>
      </c>
      <c r="G979" t="s">
        <v>74</v>
      </c>
      <c r="H979" t="s">
        <v>74</v>
      </c>
      <c r="I979" t="s">
        <v>14524</v>
      </c>
      <c r="J979" t="s">
        <v>13056</v>
      </c>
      <c r="K979" t="s">
        <v>74</v>
      </c>
      <c r="L979" t="s">
        <v>74</v>
      </c>
      <c r="M979" t="s">
        <v>77</v>
      </c>
      <c r="N979" t="s">
        <v>78</v>
      </c>
      <c r="O979" t="s">
        <v>74</v>
      </c>
      <c r="P979" t="s">
        <v>74</v>
      </c>
      <c r="Q979" t="s">
        <v>74</v>
      </c>
      <c r="R979" t="s">
        <v>74</v>
      </c>
      <c r="S979" t="s">
        <v>74</v>
      </c>
      <c r="T979" t="s">
        <v>14525</v>
      </c>
      <c r="U979" t="s">
        <v>14526</v>
      </c>
      <c r="V979" t="s">
        <v>14527</v>
      </c>
      <c r="W979" t="s">
        <v>14528</v>
      </c>
      <c r="X979" t="s">
        <v>14529</v>
      </c>
      <c r="Y979" t="s">
        <v>3055</v>
      </c>
      <c r="Z979" t="s">
        <v>14530</v>
      </c>
      <c r="AA979" t="s">
        <v>14531</v>
      </c>
      <c r="AB979" t="s">
        <v>14532</v>
      </c>
      <c r="AC979" t="s">
        <v>74</v>
      </c>
      <c r="AD979" t="s">
        <v>74</v>
      </c>
      <c r="AE979" t="s">
        <v>74</v>
      </c>
      <c r="AF979" t="s">
        <v>74</v>
      </c>
      <c r="AG979">
        <v>80</v>
      </c>
      <c r="AH979">
        <v>125</v>
      </c>
      <c r="AI979">
        <v>133</v>
      </c>
      <c r="AJ979">
        <v>0</v>
      </c>
      <c r="AK979">
        <v>13</v>
      </c>
      <c r="AL979" t="s">
        <v>1891</v>
      </c>
      <c r="AM979" t="s">
        <v>140</v>
      </c>
      <c r="AN979" t="s">
        <v>1892</v>
      </c>
      <c r="AO979" t="s">
        <v>13066</v>
      </c>
      <c r="AP979" t="s">
        <v>13067</v>
      </c>
      <c r="AQ979" t="s">
        <v>74</v>
      </c>
      <c r="AR979" t="s">
        <v>13068</v>
      </c>
      <c r="AS979" t="s">
        <v>13069</v>
      </c>
      <c r="AT979" t="s">
        <v>13966</v>
      </c>
      <c r="AU979">
        <v>2005</v>
      </c>
      <c r="AV979">
        <v>46</v>
      </c>
      <c r="AW979">
        <v>7</v>
      </c>
      <c r="AX979" t="s">
        <v>74</v>
      </c>
      <c r="AY979" t="s">
        <v>74</v>
      </c>
      <c r="AZ979" t="s">
        <v>74</v>
      </c>
      <c r="BA979" t="s">
        <v>74</v>
      </c>
      <c r="BB979">
        <v>1489</v>
      </c>
      <c r="BC979">
        <v>1524</v>
      </c>
      <c r="BD979" t="s">
        <v>74</v>
      </c>
      <c r="BE979" t="s">
        <v>14533</v>
      </c>
      <c r="BF979" t="str">
        <f>HYPERLINK("http://dx.doi.org/10.1093/petrology/egi023","http://dx.doi.org/10.1093/petrology/egi023")</f>
        <v>http://dx.doi.org/10.1093/petrology/egi023</v>
      </c>
      <c r="BG979" t="s">
        <v>74</v>
      </c>
      <c r="BH979" t="s">
        <v>74</v>
      </c>
      <c r="BI979">
        <v>36</v>
      </c>
      <c r="BJ979" t="s">
        <v>1348</v>
      </c>
      <c r="BK979" t="s">
        <v>98</v>
      </c>
      <c r="BL979" t="s">
        <v>1348</v>
      </c>
      <c r="BM979" t="s">
        <v>14521</v>
      </c>
      <c r="BN979" t="s">
        <v>74</v>
      </c>
      <c r="BO979" t="s">
        <v>1900</v>
      </c>
      <c r="BP979" t="s">
        <v>74</v>
      </c>
      <c r="BQ979" t="s">
        <v>74</v>
      </c>
      <c r="BR979" t="s">
        <v>101</v>
      </c>
      <c r="BS979" t="s">
        <v>14534</v>
      </c>
      <c r="BT979" t="str">
        <f>HYPERLINK("https%3A%2F%2Fwww.webofscience.com%2Fwos%2Fwoscc%2Ffull-record%2FWOS:000230341900007","View Full Record in Web of Science")</f>
        <v>View Full Record in Web of Science</v>
      </c>
    </row>
    <row r="980" spans="1:72" x14ac:dyDescent="0.15">
      <c r="A980" t="s">
        <v>72</v>
      </c>
      <c r="B980" t="s">
        <v>14535</v>
      </c>
      <c r="C980" t="s">
        <v>74</v>
      </c>
      <c r="D980" t="s">
        <v>74</v>
      </c>
      <c r="E980" t="s">
        <v>74</v>
      </c>
      <c r="F980" t="s">
        <v>14535</v>
      </c>
      <c r="G980" t="s">
        <v>74</v>
      </c>
      <c r="H980" t="s">
        <v>74</v>
      </c>
      <c r="I980" t="s">
        <v>14536</v>
      </c>
      <c r="J980" t="s">
        <v>8902</v>
      </c>
      <c r="K980" t="s">
        <v>74</v>
      </c>
      <c r="L980" t="s">
        <v>74</v>
      </c>
      <c r="M980" t="s">
        <v>77</v>
      </c>
      <c r="N980" t="s">
        <v>78</v>
      </c>
      <c r="O980" t="s">
        <v>74</v>
      </c>
      <c r="P980" t="s">
        <v>74</v>
      </c>
      <c r="Q980" t="s">
        <v>74</v>
      </c>
      <c r="R980" t="s">
        <v>74</v>
      </c>
      <c r="S980" t="s">
        <v>74</v>
      </c>
      <c r="T980" t="s">
        <v>74</v>
      </c>
      <c r="U980" t="s">
        <v>14537</v>
      </c>
      <c r="V980" t="s">
        <v>14538</v>
      </c>
      <c r="W980" t="s">
        <v>14539</v>
      </c>
      <c r="X980" t="s">
        <v>14540</v>
      </c>
      <c r="Y980" t="s">
        <v>14541</v>
      </c>
      <c r="Z980" t="s">
        <v>14542</v>
      </c>
      <c r="AA980" t="s">
        <v>14543</v>
      </c>
      <c r="AB980" t="s">
        <v>14544</v>
      </c>
      <c r="AC980" t="s">
        <v>74</v>
      </c>
      <c r="AD980" t="s">
        <v>74</v>
      </c>
      <c r="AE980" t="s">
        <v>74</v>
      </c>
      <c r="AF980" t="s">
        <v>74</v>
      </c>
      <c r="AG980">
        <v>30</v>
      </c>
      <c r="AH980">
        <v>55</v>
      </c>
      <c r="AI980">
        <v>57</v>
      </c>
      <c r="AJ980">
        <v>0</v>
      </c>
      <c r="AK980">
        <v>10</v>
      </c>
      <c r="AL980" t="s">
        <v>6583</v>
      </c>
      <c r="AM980" t="s">
        <v>6584</v>
      </c>
      <c r="AN980" t="s">
        <v>6585</v>
      </c>
      <c r="AO980" t="s">
        <v>8910</v>
      </c>
      <c r="AP980" t="s">
        <v>8922</v>
      </c>
      <c r="AQ980" t="s">
        <v>74</v>
      </c>
      <c r="AR980" t="s">
        <v>8911</v>
      </c>
      <c r="AS980" t="s">
        <v>8912</v>
      </c>
      <c r="AT980" t="s">
        <v>13966</v>
      </c>
      <c r="AU980">
        <v>2005</v>
      </c>
      <c r="AV980">
        <v>35</v>
      </c>
      <c r="AW980">
        <v>7</v>
      </c>
      <c r="AX980" t="s">
        <v>74</v>
      </c>
      <c r="AY980" t="s">
        <v>74</v>
      </c>
      <c r="AZ980" t="s">
        <v>74</v>
      </c>
      <c r="BA980" t="s">
        <v>74</v>
      </c>
      <c r="BB980">
        <v>1190</v>
      </c>
      <c r="BC980">
        <v>1205</v>
      </c>
      <c r="BD980" t="s">
        <v>74</v>
      </c>
      <c r="BE980" t="s">
        <v>14545</v>
      </c>
      <c r="BF980" t="str">
        <f>HYPERLINK("http://dx.doi.org/10.1175/JPO2750.1","http://dx.doi.org/10.1175/JPO2750.1")</f>
        <v>http://dx.doi.org/10.1175/JPO2750.1</v>
      </c>
      <c r="BG980" t="s">
        <v>74</v>
      </c>
      <c r="BH980" t="s">
        <v>74</v>
      </c>
      <c r="BI980">
        <v>16</v>
      </c>
      <c r="BJ980" t="s">
        <v>629</v>
      </c>
      <c r="BK980" t="s">
        <v>98</v>
      </c>
      <c r="BL980" t="s">
        <v>629</v>
      </c>
      <c r="BM980" t="s">
        <v>14546</v>
      </c>
      <c r="BN980" t="s">
        <v>74</v>
      </c>
      <c r="BO980" t="s">
        <v>4083</v>
      </c>
      <c r="BP980" t="s">
        <v>74</v>
      </c>
      <c r="BQ980" t="s">
        <v>74</v>
      </c>
      <c r="BR980" t="s">
        <v>101</v>
      </c>
      <c r="BS980" t="s">
        <v>14547</v>
      </c>
      <c r="BT980" t="str">
        <f>HYPERLINK("https%3A%2F%2Fwww.webofscience.com%2Fwos%2Fwoscc%2Ffull-record%2FWOS:000231062000002","View Full Record in Web of Science")</f>
        <v>View Full Record in Web of Science</v>
      </c>
    </row>
    <row r="981" spans="1:72" x14ac:dyDescent="0.15">
      <c r="A981" t="s">
        <v>72</v>
      </c>
      <c r="B981" t="s">
        <v>14548</v>
      </c>
      <c r="C981" t="s">
        <v>74</v>
      </c>
      <c r="D981" t="s">
        <v>74</v>
      </c>
      <c r="E981" t="s">
        <v>74</v>
      </c>
      <c r="F981" t="s">
        <v>14548</v>
      </c>
      <c r="G981" t="s">
        <v>74</v>
      </c>
      <c r="H981" t="s">
        <v>74</v>
      </c>
      <c r="I981" t="s">
        <v>14549</v>
      </c>
      <c r="J981" t="s">
        <v>8902</v>
      </c>
      <c r="K981" t="s">
        <v>74</v>
      </c>
      <c r="L981" t="s">
        <v>74</v>
      </c>
      <c r="M981" t="s">
        <v>77</v>
      </c>
      <c r="N981" t="s">
        <v>78</v>
      </c>
      <c r="O981" t="s">
        <v>74</v>
      </c>
      <c r="P981" t="s">
        <v>74</v>
      </c>
      <c r="Q981" t="s">
        <v>74</v>
      </c>
      <c r="R981" t="s">
        <v>74</v>
      </c>
      <c r="S981" t="s">
        <v>74</v>
      </c>
      <c r="T981" t="s">
        <v>74</v>
      </c>
      <c r="U981" t="s">
        <v>14550</v>
      </c>
      <c r="V981" t="s">
        <v>14551</v>
      </c>
      <c r="W981" t="s">
        <v>14552</v>
      </c>
      <c r="X981" t="s">
        <v>14553</v>
      </c>
      <c r="Y981" t="s">
        <v>14554</v>
      </c>
      <c r="Z981" t="s">
        <v>14555</v>
      </c>
      <c r="AA981" t="s">
        <v>14556</v>
      </c>
      <c r="AB981" t="s">
        <v>14557</v>
      </c>
      <c r="AC981" t="s">
        <v>74</v>
      </c>
      <c r="AD981" t="s">
        <v>74</v>
      </c>
      <c r="AE981" t="s">
        <v>74</v>
      </c>
      <c r="AF981" t="s">
        <v>74</v>
      </c>
      <c r="AG981">
        <v>38</v>
      </c>
      <c r="AH981">
        <v>30</v>
      </c>
      <c r="AI981">
        <v>36</v>
      </c>
      <c r="AJ981">
        <v>0</v>
      </c>
      <c r="AK981">
        <v>6</v>
      </c>
      <c r="AL981" t="s">
        <v>6583</v>
      </c>
      <c r="AM981" t="s">
        <v>6584</v>
      </c>
      <c r="AN981" t="s">
        <v>6585</v>
      </c>
      <c r="AO981" t="s">
        <v>8910</v>
      </c>
      <c r="AP981" t="s">
        <v>74</v>
      </c>
      <c r="AQ981" t="s">
        <v>74</v>
      </c>
      <c r="AR981" t="s">
        <v>8911</v>
      </c>
      <c r="AS981" t="s">
        <v>8912</v>
      </c>
      <c r="AT981" t="s">
        <v>13966</v>
      </c>
      <c r="AU981">
        <v>2005</v>
      </c>
      <c r="AV981">
        <v>35</v>
      </c>
      <c r="AW981">
        <v>7</v>
      </c>
      <c r="AX981" t="s">
        <v>74</v>
      </c>
      <c r="AY981" t="s">
        <v>74</v>
      </c>
      <c r="AZ981" t="s">
        <v>74</v>
      </c>
      <c r="BA981" t="s">
        <v>74</v>
      </c>
      <c r="BB981">
        <v>1206</v>
      </c>
      <c r="BC981">
        <v>1222</v>
      </c>
      <c r="BD981" t="s">
        <v>74</v>
      </c>
      <c r="BE981" t="s">
        <v>14558</v>
      </c>
      <c r="BF981" t="str">
        <f>HYPERLINK("http://dx.doi.org/10.1175/JPO2748.1","http://dx.doi.org/10.1175/JPO2748.1")</f>
        <v>http://dx.doi.org/10.1175/JPO2748.1</v>
      </c>
      <c r="BG981" t="s">
        <v>74</v>
      </c>
      <c r="BH981" t="s">
        <v>74</v>
      </c>
      <c r="BI981">
        <v>17</v>
      </c>
      <c r="BJ981" t="s">
        <v>629</v>
      </c>
      <c r="BK981" t="s">
        <v>98</v>
      </c>
      <c r="BL981" t="s">
        <v>629</v>
      </c>
      <c r="BM981" t="s">
        <v>14546</v>
      </c>
      <c r="BN981" t="s">
        <v>74</v>
      </c>
      <c r="BO981" t="s">
        <v>1132</v>
      </c>
      <c r="BP981" t="s">
        <v>74</v>
      </c>
      <c r="BQ981" t="s">
        <v>74</v>
      </c>
      <c r="BR981" t="s">
        <v>101</v>
      </c>
      <c r="BS981" t="s">
        <v>14559</v>
      </c>
      <c r="BT981" t="str">
        <f>HYPERLINK("https%3A%2F%2Fwww.webofscience.com%2Fwos%2Fwoscc%2Ffull-record%2FWOS:000231062000003","View Full Record in Web of Science")</f>
        <v>View Full Record in Web of Science</v>
      </c>
    </row>
    <row r="982" spans="1:72" x14ac:dyDescent="0.15">
      <c r="A982" t="s">
        <v>72</v>
      </c>
      <c r="B982" t="s">
        <v>14560</v>
      </c>
      <c r="C982" t="s">
        <v>74</v>
      </c>
      <c r="D982" t="s">
        <v>74</v>
      </c>
      <c r="E982" t="s">
        <v>74</v>
      </c>
      <c r="F982" t="s">
        <v>14560</v>
      </c>
      <c r="G982" t="s">
        <v>74</v>
      </c>
      <c r="H982" t="s">
        <v>74</v>
      </c>
      <c r="I982" t="s">
        <v>14561</v>
      </c>
      <c r="J982" t="s">
        <v>14562</v>
      </c>
      <c r="K982" t="s">
        <v>74</v>
      </c>
      <c r="L982" t="s">
        <v>74</v>
      </c>
      <c r="M982" t="s">
        <v>77</v>
      </c>
      <c r="N982" t="s">
        <v>335</v>
      </c>
      <c r="O982" t="s">
        <v>14563</v>
      </c>
      <c r="P982" t="s">
        <v>14564</v>
      </c>
      <c r="Q982" t="s">
        <v>14565</v>
      </c>
      <c r="R982" t="s">
        <v>74</v>
      </c>
      <c r="S982" t="s">
        <v>14566</v>
      </c>
      <c r="T982" t="s">
        <v>14567</v>
      </c>
      <c r="U982" t="s">
        <v>14568</v>
      </c>
      <c r="V982" t="s">
        <v>14569</v>
      </c>
      <c r="W982" t="s">
        <v>14570</v>
      </c>
      <c r="X982" t="s">
        <v>14571</v>
      </c>
      <c r="Y982" t="s">
        <v>14572</v>
      </c>
      <c r="Z982" t="s">
        <v>14573</v>
      </c>
      <c r="AA982" t="s">
        <v>7813</v>
      </c>
      <c r="AB982" t="s">
        <v>14574</v>
      </c>
      <c r="AC982" t="s">
        <v>74</v>
      </c>
      <c r="AD982" t="s">
        <v>74</v>
      </c>
      <c r="AE982" t="s">
        <v>74</v>
      </c>
      <c r="AF982" t="s">
        <v>74</v>
      </c>
      <c r="AG982">
        <v>60</v>
      </c>
      <c r="AH982">
        <v>35</v>
      </c>
      <c r="AI982">
        <v>38</v>
      </c>
      <c r="AJ982">
        <v>0</v>
      </c>
      <c r="AK982">
        <v>8</v>
      </c>
      <c r="AL982" t="s">
        <v>2025</v>
      </c>
      <c r="AM982" t="s">
        <v>2026</v>
      </c>
      <c r="AN982" t="s">
        <v>2027</v>
      </c>
      <c r="AO982" t="s">
        <v>14575</v>
      </c>
      <c r="AP982" t="s">
        <v>14576</v>
      </c>
      <c r="AQ982" t="s">
        <v>74</v>
      </c>
      <c r="AR982" t="s">
        <v>14577</v>
      </c>
      <c r="AS982" t="s">
        <v>14578</v>
      </c>
      <c r="AT982" t="s">
        <v>13966</v>
      </c>
      <c r="AU982">
        <v>2005</v>
      </c>
      <c r="AV982">
        <v>20</v>
      </c>
      <c r="AW982">
        <v>5</v>
      </c>
      <c r="AX982" t="s">
        <v>74</v>
      </c>
      <c r="AY982" t="s">
        <v>74</v>
      </c>
      <c r="AZ982" t="s">
        <v>74</v>
      </c>
      <c r="BA982" t="s">
        <v>74</v>
      </c>
      <c r="BB982">
        <v>435</v>
      </c>
      <c r="BC982">
        <v>446</v>
      </c>
      <c r="BD982" t="s">
        <v>74</v>
      </c>
      <c r="BE982" t="s">
        <v>14579</v>
      </c>
      <c r="BF982" t="str">
        <f>HYPERLINK("http://dx.doi.org/10.1002/jqs.947","http://dx.doi.org/10.1002/jqs.947")</f>
        <v>http://dx.doi.org/10.1002/jqs.947</v>
      </c>
      <c r="BG982" t="s">
        <v>74</v>
      </c>
      <c r="BH982" t="s">
        <v>74</v>
      </c>
      <c r="BI982">
        <v>12</v>
      </c>
      <c r="BJ982" t="s">
        <v>2246</v>
      </c>
      <c r="BK982" t="s">
        <v>1411</v>
      </c>
      <c r="BL982" t="s">
        <v>1531</v>
      </c>
      <c r="BM982" t="s">
        <v>14580</v>
      </c>
      <c r="BN982" t="s">
        <v>74</v>
      </c>
      <c r="BO982" t="s">
        <v>74</v>
      </c>
      <c r="BP982" t="s">
        <v>74</v>
      </c>
      <c r="BQ982" t="s">
        <v>74</v>
      </c>
      <c r="BR982" t="s">
        <v>101</v>
      </c>
      <c r="BS982" t="s">
        <v>14581</v>
      </c>
      <c r="BT982" t="str">
        <f>HYPERLINK("https%3A%2F%2Fwww.webofscience.com%2Fwos%2Fwoscc%2Ffull-record%2FWOS:000231023500004","View Full Record in Web of Science")</f>
        <v>View Full Record in Web of Science</v>
      </c>
    </row>
    <row r="983" spans="1:72" x14ac:dyDescent="0.15">
      <c r="A983" t="s">
        <v>72</v>
      </c>
      <c r="B983" t="s">
        <v>14582</v>
      </c>
      <c r="C983" t="s">
        <v>74</v>
      </c>
      <c r="D983" t="s">
        <v>74</v>
      </c>
      <c r="E983" t="s">
        <v>74</v>
      </c>
      <c r="F983" t="s">
        <v>14582</v>
      </c>
      <c r="G983" t="s">
        <v>74</v>
      </c>
      <c r="H983" t="s">
        <v>74</v>
      </c>
      <c r="I983" t="s">
        <v>14583</v>
      </c>
      <c r="J983" t="s">
        <v>14584</v>
      </c>
      <c r="K983" t="s">
        <v>74</v>
      </c>
      <c r="L983" t="s">
        <v>74</v>
      </c>
      <c r="M983" t="s">
        <v>77</v>
      </c>
      <c r="N983" t="s">
        <v>78</v>
      </c>
      <c r="O983" t="s">
        <v>74</v>
      </c>
      <c r="P983" t="s">
        <v>74</v>
      </c>
      <c r="Q983" t="s">
        <v>74</v>
      </c>
      <c r="R983" t="s">
        <v>74</v>
      </c>
      <c r="S983" t="s">
        <v>74</v>
      </c>
      <c r="T983" t="s">
        <v>14585</v>
      </c>
      <c r="U983" t="s">
        <v>14586</v>
      </c>
      <c r="V983" t="s">
        <v>14587</v>
      </c>
      <c r="W983" t="s">
        <v>14588</v>
      </c>
      <c r="X983" t="s">
        <v>14589</v>
      </c>
      <c r="Y983" t="s">
        <v>14590</v>
      </c>
      <c r="Z983" t="s">
        <v>14591</v>
      </c>
      <c r="AA983" t="s">
        <v>14592</v>
      </c>
      <c r="AB983" t="s">
        <v>14593</v>
      </c>
      <c r="AC983" t="s">
        <v>74</v>
      </c>
      <c r="AD983" t="s">
        <v>74</v>
      </c>
      <c r="AE983" t="s">
        <v>74</v>
      </c>
      <c r="AF983" t="s">
        <v>74</v>
      </c>
      <c r="AG983">
        <v>22</v>
      </c>
      <c r="AH983">
        <v>19</v>
      </c>
      <c r="AI983">
        <v>20</v>
      </c>
      <c r="AJ983">
        <v>0</v>
      </c>
      <c r="AK983">
        <v>31</v>
      </c>
      <c r="AL983" t="s">
        <v>2025</v>
      </c>
      <c r="AM983" t="s">
        <v>2026</v>
      </c>
      <c r="AN983" t="s">
        <v>2027</v>
      </c>
      <c r="AO983" t="s">
        <v>14594</v>
      </c>
      <c r="AP983" t="s">
        <v>14595</v>
      </c>
      <c r="AQ983" t="s">
        <v>74</v>
      </c>
      <c r="AR983" t="s">
        <v>14596</v>
      </c>
      <c r="AS983" t="s">
        <v>14597</v>
      </c>
      <c r="AT983" t="s">
        <v>13966</v>
      </c>
      <c r="AU983">
        <v>2005</v>
      </c>
      <c r="AV983">
        <v>69</v>
      </c>
      <c r="AW983">
        <v>3</v>
      </c>
      <c r="AX983" t="s">
        <v>74</v>
      </c>
      <c r="AY983" t="s">
        <v>74</v>
      </c>
      <c r="AZ983" t="s">
        <v>74</v>
      </c>
      <c r="BA983" t="s">
        <v>74</v>
      </c>
      <c r="BB983">
        <v>1015</v>
      </c>
      <c r="BC983">
        <v>1023</v>
      </c>
      <c r="BD983" t="s">
        <v>74</v>
      </c>
      <c r="BE983" t="s">
        <v>14598</v>
      </c>
      <c r="BF983" t="str">
        <f>HYPERLINK("http://dx.doi.org/10.2193/0022-541X(2005)069[1015:EBMACO]2.0.CO;2","http://dx.doi.org/10.2193/0022-541X(2005)069[1015:EBMACO]2.0.CO;2")</f>
        <v>http://dx.doi.org/10.2193/0022-541X(2005)069[1015:EBMACO]2.0.CO;2</v>
      </c>
      <c r="BG983" t="s">
        <v>74</v>
      </c>
      <c r="BH983" t="s">
        <v>74</v>
      </c>
      <c r="BI983">
        <v>9</v>
      </c>
      <c r="BJ983" t="s">
        <v>5025</v>
      </c>
      <c r="BK983" t="s">
        <v>98</v>
      </c>
      <c r="BL983" t="s">
        <v>5026</v>
      </c>
      <c r="BM983" t="s">
        <v>14599</v>
      </c>
      <c r="BN983" t="s">
        <v>74</v>
      </c>
      <c r="BO983" t="s">
        <v>74</v>
      </c>
      <c r="BP983" t="s">
        <v>74</v>
      </c>
      <c r="BQ983" t="s">
        <v>74</v>
      </c>
      <c r="BR983" t="s">
        <v>101</v>
      </c>
      <c r="BS983" t="s">
        <v>14600</v>
      </c>
      <c r="BT983" t="str">
        <f>HYPERLINK("https%3A%2F%2Fwww.webofscience.com%2Fwos%2Fwoscc%2Ffull-record%2FWOS:000233385900016","View Full Record in Web of Science")</f>
        <v>View Full Record in Web of Science</v>
      </c>
    </row>
    <row r="984" spans="1:72" x14ac:dyDescent="0.15">
      <c r="A984" t="s">
        <v>72</v>
      </c>
      <c r="B984" t="s">
        <v>14601</v>
      </c>
      <c r="C984" t="s">
        <v>74</v>
      </c>
      <c r="D984" t="s">
        <v>74</v>
      </c>
      <c r="E984" t="s">
        <v>74</v>
      </c>
      <c r="F984" t="s">
        <v>14601</v>
      </c>
      <c r="G984" t="s">
        <v>74</v>
      </c>
      <c r="H984" t="s">
        <v>74</v>
      </c>
      <c r="I984" t="s">
        <v>14602</v>
      </c>
      <c r="J984" t="s">
        <v>8982</v>
      </c>
      <c r="K984" t="s">
        <v>74</v>
      </c>
      <c r="L984" t="s">
        <v>74</v>
      </c>
      <c r="M984" t="s">
        <v>77</v>
      </c>
      <c r="N984" t="s">
        <v>78</v>
      </c>
      <c r="O984" t="s">
        <v>74</v>
      </c>
      <c r="P984" t="s">
        <v>74</v>
      </c>
      <c r="Q984" t="s">
        <v>74</v>
      </c>
      <c r="R984" t="s">
        <v>74</v>
      </c>
      <c r="S984" t="s">
        <v>74</v>
      </c>
      <c r="T984" t="s">
        <v>74</v>
      </c>
      <c r="U984" t="s">
        <v>14603</v>
      </c>
      <c r="V984" t="s">
        <v>14604</v>
      </c>
      <c r="W984" t="s">
        <v>14605</v>
      </c>
      <c r="X984" t="s">
        <v>14606</v>
      </c>
      <c r="Y984" t="s">
        <v>14607</v>
      </c>
      <c r="Z984" t="s">
        <v>14608</v>
      </c>
      <c r="AA984" t="s">
        <v>74</v>
      </c>
      <c r="AB984" t="s">
        <v>74</v>
      </c>
      <c r="AC984" t="s">
        <v>74</v>
      </c>
      <c r="AD984" t="s">
        <v>74</v>
      </c>
      <c r="AE984" t="s">
        <v>74</v>
      </c>
      <c r="AF984" t="s">
        <v>74</v>
      </c>
      <c r="AG984">
        <v>51</v>
      </c>
      <c r="AH984">
        <v>50</v>
      </c>
      <c r="AI984">
        <v>58</v>
      </c>
      <c r="AJ984">
        <v>0</v>
      </c>
      <c r="AK984">
        <v>27</v>
      </c>
      <c r="AL984" t="s">
        <v>14609</v>
      </c>
      <c r="AM984" t="s">
        <v>14610</v>
      </c>
      <c r="AN984" t="s">
        <v>14611</v>
      </c>
      <c r="AO984" t="s">
        <v>8991</v>
      </c>
      <c r="AP984" t="s">
        <v>74</v>
      </c>
      <c r="AQ984" t="s">
        <v>74</v>
      </c>
      <c r="AR984" t="s">
        <v>8993</v>
      </c>
      <c r="AS984" t="s">
        <v>8994</v>
      </c>
      <c r="AT984" t="s">
        <v>13966</v>
      </c>
      <c r="AU984">
        <v>2005</v>
      </c>
      <c r="AV984">
        <v>50</v>
      </c>
      <c r="AW984">
        <v>4</v>
      </c>
      <c r="AX984" t="s">
        <v>74</v>
      </c>
      <c r="AY984" t="s">
        <v>74</v>
      </c>
      <c r="AZ984" t="s">
        <v>74</v>
      </c>
      <c r="BA984" t="s">
        <v>74</v>
      </c>
      <c r="BB984">
        <v>1181</v>
      </c>
      <c r="BC984">
        <v>1192</v>
      </c>
      <c r="BD984" t="s">
        <v>74</v>
      </c>
      <c r="BE984" t="s">
        <v>14612</v>
      </c>
      <c r="BF984" t="str">
        <f>HYPERLINK("http://dx.doi.org/10.4319/lo.2005.50.4.1181","http://dx.doi.org/10.4319/lo.2005.50.4.1181")</f>
        <v>http://dx.doi.org/10.4319/lo.2005.50.4.1181</v>
      </c>
      <c r="BG984" t="s">
        <v>74</v>
      </c>
      <c r="BH984" t="s">
        <v>74</v>
      </c>
      <c r="BI984">
        <v>12</v>
      </c>
      <c r="BJ984" t="s">
        <v>6500</v>
      </c>
      <c r="BK984" t="s">
        <v>98</v>
      </c>
      <c r="BL984" t="s">
        <v>3720</v>
      </c>
      <c r="BM984" t="s">
        <v>14613</v>
      </c>
      <c r="BN984" t="s">
        <v>74</v>
      </c>
      <c r="BO984" t="s">
        <v>1900</v>
      </c>
      <c r="BP984" t="s">
        <v>74</v>
      </c>
      <c r="BQ984" t="s">
        <v>74</v>
      </c>
      <c r="BR984" t="s">
        <v>101</v>
      </c>
      <c r="BS984" t="s">
        <v>14614</v>
      </c>
      <c r="BT984" t="str">
        <f>HYPERLINK("https%3A%2F%2Fwww.webofscience.com%2Fwos%2Fwoscc%2Ffull-record%2FWOS:000230585100015","View Full Record in Web of Science")</f>
        <v>View Full Record in Web of Science</v>
      </c>
    </row>
    <row r="985" spans="1:72" x14ac:dyDescent="0.15">
      <c r="A985" t="s">
        <v>72</v>
      </c>
      <c r="B985" t="s">
        <v>14615</v>
      </c>
      <c r="C985" t="s">
        <v>74</v>
      </c>
      <c r="D985" t="s">
        <v>74</v>
      </c>
      <c r="E985" t="s">
        <v>74</v>
      </c>
      <c r="F985" t="s">
        <v>14615</v>
      </c>
      <c r="G985" t="s">
        <v>74</v>
      </c>
      <c r="H985" t="s">
        <v>74</v>
      </c>
      <c r="I985" t="s">
        <v>14616</v>
      </c>
      <c r="J985" t="s">
        <v>3146</v>
      </c>
      <c r="K985" t="s">
        <v>74</v>
      </c>
      <c r="L985" t="s">
        <v>74</v>
      </c>
      <c r="M985" t="s">
        <v>77</v>
      </c>
      <c r="N985" t="s">
        <v>78</v>
      </c>
      <c r="O985" t="s">
        <v>74</v>
      </c>
      <c r="P985" t="s">
        <v>74</v>
      </c>
      <c r="Q985" t="s">
        <v>74</v>
      </c>
      <c r="R985" t="s">
        <v>74</v>
      </c>
      <c r="S985" t="s">
        <v>74</v>
      </c>
      <c r="T985" t="s">
        <v>14617</v>
      </c>
      <c r="U985" t="s">
        <v>14618</v>
      </c>
      <c r="V985" t="s">
        <v>14619</v>
      </c>
      <c r="W985" t="s">
        <v>14620</v>
      </c>
      <c r="X985" t="s">
        <v>8893</v>
      </c>
      <c r="Y985" t="s">
        <v>14621</v>
      </c>
      <c r="Z985" t="s">
        <v>14622</v>
      </c>
      <c r="AA985" t="s">
        <v>74</v>
      </c>
      <c r="AB985" t="s">
        <v>74</v>
      </c>
      <c r="AC985" t="s">
        <v>74</v>
      </c>
      <c r="AD985" t="s">
        <v>74</v>
      </c>
      <c r="AE985" t="s">
        <v>74</v>
      </c>
      <c r="AF985" t="s">
        <v>74</v>
      </c>
      <c r="AG985">
        <v>68</v>
      </c>
      <c r="AH985">
        <v>80</v>
      </c>
      <c r="AI985">
        <v>85</v>
      </c>
      <c r="AJ985">
        <v>0</v>
      </c>
      <c r="AK985">
        <v>34</v>
      </c>
      <c r="AL985" t="s">
        <v>139</v>
      </c>
      <c r="AM985" t="s">
        <v>140</v>
      </c>
      <c r="AN985" t="s">
        <v>141</v>
      </c>
      <c r="AO985" t="s">
        <v>3151</v>
      </c>
      <c r="AP985" t="s">
        <v>14623</v>
      </c>
      <c r="AQ985" t="s">
        <v>74</v>
      </c>
      <c r="AR985" t="s">
        <v>3152</v>
      </c>
      <c r="AS985" t="s">
        <v>3153</v>
      </c>
      <c r="AT985" t="s">
        <v>13966</v>
      </c>
      <c r="AU985">
        <v>2005</v>
      </c>
      <c r="AV985">
        <v>60</v>
      </c>
      <c r="AW985">
        <v>1</v>
      </c>
      <c r="AX985" t="s">
        <v>74</v>
      </c>
      <c r="AY985" t="s">
        <v>74</v>
      </c>
      <c r="AZ985" t="s">
        <v>74</v>
      </c>
      <c r="BA985" t="s">
        <v>74</v>
      </c>
      <c r="BB985">
        <v>1</v>
      </c>
      <c r="BC985">
        <v>33</v>
      </c>
      <c r="BD985" t="s">
        <v>74</v>
      </c>
      <c r="BE985" t="s">
        <v>14624</v>
      </c>
      <c r="BF985" t="str">
        <f>HYPERLINK("http://dx.doi.org/10.1016/j.marenvres.2004.08.001","http://dx.doi.org/10.1016/j.marenvres.2004.08.001")</f>
        <v>http://dx.doi.org/10.1016/j.marenvres.2004.08.001</v>
      </c>
      <c r="BG985" t="s">
        <v>74</v>
      </c>
      <c r="BH985" t="s">
        <v>74</v>
      </c>
      <c r="BI985">
        <v>33</v>
      </c>
      <c r="BJ985" t="s">
        <v>3156</v>
      </c>
      <c r="BK985" t="s">
        <v>98</v>
      </c>
      <c r="BL985" t="s">
        <v>3157</v>
      </c>
      <c r="BM985" t="s">
        <v>14625</v>
      </c>
      <c r="BN985">
        <v>15649525</v>
      </c>
      <c r="BO985" t="s">
        <v>74</v>
      </c>
      <c r="BP985" t="s">
        <v>74</v>
      </c>
      <c r="BQ985" t="s">
        <v>74</v>
      </c>
      <c r="BR985" t="s">
        <v>101</v>
      </c>
      <c r="BS985" t="s">
        <v>14626</v>
      </c>
      <c r="BT985" t="str">
        <f>HYPERLINK("https%3A%2F%2Fwww.webofscience.com%2Fwos%2Fwoscc%2Ffull-record%2FWOS:000227597000001","View Full Record in Web of Science")</f>
        <v>View Full Record in Web of Science</v>
      </c>
    </row>
    <row r="986" spans="1:72" x14ac:dyDescent="0.15">
      <c r="A986" t="s">
        <v>72</v>
      </c>
      <c r="B986" t="s">
        <v>14627</v>
      </c>
      <c r="C986" t="s">
        <v>74</v>
      </c>
      <c r="D986" t="s">
        <v>74</v>
      </c>
      <c r="E986" t="s">
        <v>74</v>
      </c>
      <c r="F986" t="s">
        <v>14627</v>
      </c>
      <c r="G986" t="s">
        <v>74</v>
      </c>
      <c r="H986" t="s">
        <v>74</v>
      </c>
      <c r="I986" t="s">
        <v>14628</v>
      </c>
      <c r="J986" t="s">
        <v>5272</v>
      </c>
      <c r="K986" t="s">
        <v>74</v>
      </c>
      <c r="L986" t="s">
        <v>74</v>
      </c>
      <c r="M986" t="s">
        <v>77</v>
      </c>
      <c r="N986" t="s">
        <v>78</v>
      </c>
      <c r="O986" t="s">
        <v>74</v>
      </c>
      <c r="P986" t="s">
        <v>74</v>
      </c>
      <c r="Q986" t="s">
        <v>74</v>
      </c>
      <c r="R986" t="s">
        <v>74</v>
      </c>
      <c r="S986" t="s">
        <v>74</v>
      </c>
      <c r="T986" t="s">
        <v>14629</v>
      </c>
      <c r="U986" t="s">
        <v>14630</v>
      </c>
      <c r="V986" t="s">
        <v>14631</v>
      </c>
      <c r="W986" t="s">
        <v>14632</v>
      </c>
      <c r="X986" t="s">
        <v>2640</v>
      </c>
      <c r="Y986" t="s">
        <v>14633</v>
      </c>
      <c r="Z986" t="s">
        <v>14634</v>
      </c>
      <c r="AA986" t="s">
        <v>74</v>
      </c>
      <c r="AB986" t="s">
        <v>14635</v>
      </c>
      <c r="AC986" t="s">
        <v>74</v>
      </c>
      <c r="AD986" t="s">
        <v>74</v>
      </c>
      <c r="AE986" t="s">
        <v>74</v>
      </c>
      <c r="AF986" t="s">
        <v>74</v>
      </c>
      <c r="AG986">
        <v>57</v>
      </c>
      <c r="AH986">
        <v>62</v>
      </c>
      <c r="AI986">
        <v>68</v>
      </c>
      <c r="AJ986">
        <v>1</v>
      </c>
      <c r="AK986">
        <v>25</v>
      </c>
      <c r="AL986" t="s">
        <v>3283</v>
      </c>
      <c r="AM986" t="s">
        <v>1148</v>
      </c>
      <c r="AN986" t="s">
        <v>3284</v>
      </c>
      <c r="AO986" t="s">
        <v>5280</v>
      </c>
      <c r="AP986" t="s">
        <v>5281</v>
      </c>
      <c r="AQ986" t="s">
        <v>74</v>
      </c>
      <c r="AR986" t="s">
        <v>5282</v>
      </c>
      <c r="AS986" t="s">
        <v>5283</v>
      </c>
      <c r="AT986" t="s">
        <v>13966</v>
      </c>
      <c r="AU986">
        <v>2005</v>
      </c>
      <c r="AV986">
        <v>56</v>
      </c>
      <c r="AW986" t="s">
        <v>485</v>
      </c>
      <c r="AX986" t="s">
        <v>74</v>
      </c>
      <c r="AY986" t="s">
        <v>74</v>
      </c>
      <c r="AZ986" t="s">
        <v>74</v>
      </c>
      <c r="BA986" t="s">
        <v>74</v>
      </c>
      <c r="BB986">
        <v>1</v>
      </c>
      <c r="BC986">
        <v>24</v>
      </c>
      <c r="BD986" t="s">
        <v>74</v>
      </c>
      <c r="BE986" t="s">
        <v>14636</v>
      </c>
      <c r="BF986" t="str">
        <f>HYPERLINK("http://dx.doi.org/10.1016/j.marmicro.2005.02.008","http://dx.doi.org/10.1016/j.marmicro.2005.02.008")</f>
        <v>http://dx.doi.org/10.1016/j.marmicro.2005.02.008</v>
      </c>
      <c r="BG986" t="s">
        <v>74</v>
      </c>
      <c r="BH986" t="s">
        <v>74</v>
      </c>
      <c r="BI986">
        <v>24</v>
      </c>
      <c r="BJ986" t="s">
        <v>487</v>
      </c>
      <c r="BK986" t="s">
        <v>98</v>
      </c>
      <c r="BL986" t="s">
        <v>487</v>
      </c>
      <c r="BM986" t="s">
        <v>14637</v>
      </c>
      <c r="BN986" t="s">
        <v>74</v>
      </c>
      <c r="BO986" t="s">
        <v>74</v>
      </c>
      <c r="BP986" t="s">
        <v>74</v>
      </c>
      <c r="BQ986" t="s">
        <v>74</v>
      </c>
      <c r="BR986" t="s">
        <v>101</v>
      </c>
      <c r="BS986" t="s">
        <v>14638</v>
      </c>
      <c r="BT986" t="str">
        <f>HYPERLINK("https%3A%2F%2Fwww.webofscience.com%2Fwos%2Fwoscc%2Ffull-record%2FWOS:000230374900001","View Full Record in Web of Science")</f>
        <v>View Full Record in Web of Science</v>
      </c>
    </row>
    <row r="987" spans="1:72" x14ac:dyDescent="0.15">
      <c r="A987" t="s">
        <v>72</v>
      </c>
      <c r="B987" t="s">
        <v>14639</v>
      </c>
      <c r="C987" t="s">
        <v>74</v>
      </c>
      <c r="D987" t="s">
        <v>74</v>
      </c>
      <c r="E987" t="s">
        <v>74</v>
      </c>
      <c r="F987" t="s">
        <v>14639</v>
      </c>
      <c r="G987" t="s">
        <v>74</v>
      </c>
      <c r="H987" t="s">
        <v>74</v>
      </c>
      <c r="I987" t="s">
        <v>14640</v>
      </c>
      <c r="J987" t="s">
        <v>5272</v>
      </c>
      <c r="K987" t="s">
        <v>74</v>
      </c>
      <c r="L987" t="s">
        <v>74</v>
      </c>
      <c r="M987" t="s">
        <v>77</v>
      </c>
      <c r="N987" t="s">
        <v>78</v>
      </c>
      <c r="O987" t="s">
        <v>74</v>
      </c>
      <c r="P987" t="s">
        <v>74</v>
      </c>
      <c r="Q987" t="s">
        <v>74</v>
      </c>
      <c r="R987" t="s">
        <v>74</v>
      </c>
      <c r="S987" t="s">
        <v>74</v>
      </c>
      <c r="T987" t="s">
        <v>14641</v>
      </c>
      <c r="U987" t="s">
        <v>14642</v>
      </c>
      <c r="V987" t="s">
        <v>14643</v>
      </c>
      <c r="W987" t="s">
        <v>14644</v>
      </c>
      <c r="X987" t="s">
        <v>1081</v>
      </c>
      <c r="Y987" t="s">
        <v>14645</v>
      </c>
      <c r="Z987" t="s">
        <v>14646</v>
      </c>
      <c r="AA987" t="s">
        <v>74</v>
      </c>
      <c r="AB987" t="s">
        <v>74</v>
      </c>
      <c r="AC987" t="s">
        <v>74</v>
      </c>
      <c r="AD987" t="s">
        <v>74</v>
      </c>
      <c r="AE987" t="s">
        <v>74</v>
      </c>
      <c r="AF987" t="s">
        <v>74</v>
      </c>
      <c r="AG987">
        <v>96</v>
      </c>
      <c r="AH987">
        <v>61</v>
      </c>
      <c r="AI987">
        <v>68</v>
      </c>
      <c r="AJ987">
        <v>0</v>
      </c>
      <c r="AK987">
        <v>9</v>
      </c>
      <c r="AL987" t="s">
        <v>3283</v>
      </c>
      <c r="AM987" t="s">
        <v>1148</v>
      </c>
      <c r="AN987" t="s">
        <v>3284</v>
      </c>
      <c r="AO987" t="s">
        <v>5280</v>
      </c>
      <c r="AP987" t="s">
        <v>5281</v>
      </c>
      <c r="AQ987" t="s">
        <v>74</v>
      </c>
      <c r="AR987" t="s">
        <v>5282</v>
      </c>
      <c r="AS987" t="s">
        <v>5283</v>
      </c>
      <c r="AT987" t="s">
        <v>13966</v>
      </c>
      <c r="AU987">
        <v>2005</v>
      </c>
      <c r="AV987">
        <v>56</v>
      </c>
      <c r="AW987" t="s">
        <v>485</v>
      </c>
      <c r="AX987" t="s">
        <v>74</v>
      </c>
      <c r="AY987" t="s">
        <v>74</v>
      </c>
      <c r="AZ987" t="s">
        <v>74</v>
      </c>
      <c r="BA987" t="s">
        <v>74</v>
      </c>
      <c r="BB987">
        <v>25</v>
      </c>
      <c r="BC987">
        <v>49</v>
      </c>
      <c r="BD987" t="s">
        <v>74</v>
      </c>
      <c r="BE987" t="s">
        <v>14647</v>
      </c>
      <c r="BF987" t="str">
        <f>HYPERLINK("http://dx.doi.org/10.1016/j.marmicro.2005.03.005","http://dx.doi.org/10.1016/j.marmicro.2005.03.005")</f>
        <v>http://dx.doi.org/10.1016/j.marmicro.2005.03.005</v>
      </c>
      <c r="BG987" t="s">
        <v>74</v>
      </c>
      <c r="BH987" t="s">
        <v>74</v>
      </c>
      <c r="BI987">
        <v>25</v>
      </c>
      <c r="BJ987" t="s">
        <v>487</v>
      </c>
      <c r="BK987" t="s">
        <v>98</v>
      </c>
      <c r="BL987" t="s">
        <v>487</v>
      </c>
      <c r="BM987" t="s">
        <v>14637</v>
      </c>
      <c r="BN987" t="s">
        <v>74</v>
      </c>
      <c r="BO987" t="s">
        <v>74</v>
      </c>
      <c r="BP987" t="s">
        <v>74</v>
      </c>
      <c r="BQ987" t="s">
        <v>74</v>
      </c>
      <c r="BR987" t="s">
        <v>101</v>
      </c>
      <c r="BS987" t="s">
        <v>14648</v>
      </c>
      <c r="BT987" t="str">
        <f>HYPERLINK("https%3A%2F%2Fwww.webofscience.com%2Fwos%2Fwoscc%2Ffull-record%2FWOS:000230374900002","View Full Record in Web of Science")</f>
        <v>View Full Record in Web of Science</v>
      </c>
    </row>
    <row r="988" spans="1:72" x14ac:dyDescent="0.15">
      <c r="A988" t="s">
        <v>72</v>
      </c>
      <c r="B988" t="s">
        <v>14649</v>
      </c>
      <c r="C988" t="s">
        <v>74</v>
      </c>
      <c r="D988" t="s">
        <v>74</v>
      </c>
      <c r="E988" t="s">
        <v>74</v>
      </c>
      <c r="F988" t="s">
        <v>14649</v>
      </c>
      <c r="G988" t="s">
        <v>74</v>
      </c>
      <c r="H988" t="s">
        <v>74</v>
      </c>
      <c r="I988" t="s">
        <v>14650</v>
      </c>
      <c r="J988" t="s">
        <v>10234</v>
      </c>
      <c r="K988" t="s">
        <v>74</v>
      </c>
      <c r="L988" t="s">
        <v>74</v>
      </c>
      <c r="M988" t="s">
        <v>77</v>
      </c>
      <c r="N988" t="s">
        <v>78</v>
      </c>
      <c r="O988" t="s">
        <v>74</v>
      </c>
      <c r="P988" t="s">
        <v>74</v>
      </c>
      <c r="Q988" t="s">
        <v>74</v>
      </c>
      <c r="R988" t="s">
        <v>74</v>
      </c>
      <c r="S988" t="s">
        <v>74</v>
      </c>
      <c r="T988" t="s">
        <v>74</v>
      </c>
      <c r="U988" t="s">
        <v>14651</v>
      </c>
      <c r="V988" t="s">
        <v>74</v>
      </c>
      <c r="W988" t="s">
        <v>14652</v>
      </c>
      <c r="X988" t="s">
        <v>14653</v>
      </c>
      <c r="Y988" t="s">
        <v>14654</v>
      </c>
      <c r="Z988" t="s">
        <v>14655</v>
      </c>
      <c r="AA988" t="s">
        <v>14656</v>
      </c>
      <c r="AB988" t="s">
        <v>14657</v>
      </c>
      <c r="AC988" t="s">
        <v>74</v>
      </c>
      <c r="AD988" t="s">
        <v>74</v>
      </c>
      <c r="AE988" t="s">
        <v>74</v>
      </c>
      <c r="AF988" t="s">
        <v>74</v>
      </c>
      <c r="AG988">
        <v>15</v>
      </c>
      <c r="AH988">
        <v>64</v>
      </c>
      <c r="AI988">
        <v>73</v>
      </c>
      <c r="AJ988">
        <v>0</v>
      </c>
      <c r="AK988">
        <v>18</v>
      </c>
      <c r="AL988" t="s">
        <v>622</v>
      </c>
      <c r="AM988" t="s">
        <v>140</v>
      </c>
      <c r="AN988" t="s">
        <v>623</v>
      </c>
      <c r="AO988" t="s">
        <v>10235</v>
      </c>
      <c r="AP988" t="s">
        <v>10236</v>
      </c>
      <c r="AQ988" t="s">
        <v>74</v>
      </c>
      <c r="AR988" t="s">
        <v>10237</v>
      </c>
      <c r="AS988" t="s">
        <v>10238</v>
      </c>
      <c r="AT988" t="s">
        <v>13966</v>
      </c>
      <c r="AU988">
        <v>2005</v>
      </c>
      <c r="AV988">
        <v>50</v>
      </c>
      <c r="AW988">
        <v>7</v>
      </c>
      <c r="AX988" t="s">
        <v>74</v>
      </c>
      <c r="AY988" t="s">
        <v>74</v>
      </c>
      <c r="AZ988" t="s">
        <v>74</v>
      </c>
      <c r="BA988" t="s">
        <v>74</v>
      </c>
      <c r="BB988">
        <v>778</v>
      </c>
      <c r="BC988">
        <v>782</v>
      </c>
      <c r="BD988" t="s">
        <v>74</v>
      </c>
      <c r="BE988" t="s">
        <v>14658</v>
      </c>
      <c r="BF988" t="str">
        <f>HYPERLINK("http://dx.doi.org/10.1016/j.marpolbul.2005.03.002","http://dx.doi.org/10.1016/j.marpolbul.2005.03.002")</f>
        <v>http://dx.doi.org/10.1016/j.marpolbul.2005.03.002</v>
      </c>
      <c r="BG988" t="s">
        <v>74</v>
      </c>
      <c r="BH988" t="s">
        <v>74</v>
      </c>
      <c r="BI988">
        <v>5</v>
      </c>
      <c r="BJ988" t="s">
        <v>10239</v>
      </c>
      <c r="BK988" t="s">
        <v>98</v>
      </c>
      <c r="BL988" t="s">
        <v>2629</v>
      </c>
      <c r="BM988" t="s">
        <v>14659</v>
      </c>
      <c r="BN988">
        <v>15993145</v>
      </c>
      <c r="BO988" t="s">
        <v>74</v>
      </c>
      <c r="BP988" t="s">
        <v>74</v>
      </c>
      <c r="BQ988" t="s">
        <v>74</v>
      </c>
      <c r="BR988" t="s">
        <v>101</v>
      </c>
      <c r="BS988" t="s">
        <v>14660</v>
      </c>
      <c r="BT988" t="str">
        <f>HYPERLINK("https%3A%2F%2Fwww.webofscience.com%2Fwos%2Fwoscc%2Ffull-record%2FWOS:000230626400019","View Full Record in Web of Science")</f>
        <v>View Full Record in Web of Science</v>
      </c>
    </row>
    <row r="989" spans="1:72" x14ac:dyDescent="0.15">
      <c r="A989" t="s">
        <v>72</v>
      </c>
      <c r="B989" t="s">
        <v>14661</v>
      </c>
      <c r="C989" t="s">
        <v>74</v>
      </c>
      <c r="D989" t="s">
        <v>74</v>
      </c>
      <c r="E989" t="s">
        <v>74</v>
      </c>
      <c r="F989" t="s">
        <v>14661</v>
      </c>
      <c r="G989" t="s">
        <v>74</v>
      </c>
      <c r="H989" t="s">
        <v>74</v>
      </c>
      <c r="I989" t="s">
        <v>14662</v>
      </c>
      <c r="J989" t="s">
        <v>3232</v>
      </c>
      <c r="K989" t="s">
        <v>74</v>
      </c>
      <c r="L989" t="s">
        <v>74</v>
      </c>
      <c r="M989" t="s">
        <v>77</v>
      </c>
      <c r="N989" t="s">
        <v>78</v>
      </c>
      <c r="O989" t="s">
        <v>74</v>
      </c>
      <c r="P989" t="s">
        <v>74</v>
      </c>
      <c r="Q989" t="s">
        <v>74</v>
      </c>
      <c r="R989" t="s">
        <v>74</v>
      </c>
      <c r="S989" t="s">
        <v>74</v>
      </c>
      <c r="T989" t="s">
        <v>74</v>
      </c>
      <c r="U989" t="s">
        <v>14663</v>
      </c>
      <c r="V989" t="s">
        <v>14664</v>
      </c>
      <c r="W989" t="s">
        <v>14665</v>
      </c>
      <c r="X989" t="s">
        <v>14666</v>
      </c>
      <c r="Y989" t="s">
        <v>14667</v>
      </c>
      <c r="Z989" t="s">
        <v>2222</v>
      </c>
      <c r="AA989" t="s">
        <v>2223</v>
      </c>
      <c r="AB989" t="s">
        <v>2224</v>
      </c>
      <c r="AC989" t="s">
        <v>74</v>
      </c>
      <c r="AD989" t="s">
        <v>74</v>
      </c>
      <c r="AE989" t="s">
        <v>74</v>
      </c>
      <c r="AF989" t="s">
        <v>74</v>
      </c>
      <c r="AG989">
        <v>63</v>
      </c>
      <c r="AH989">
        <v>51</v>
      </c>
      <c r="AI989">
        <v>51</v>
      </c>
      <c r="AJ989">
        <v>0</v>
      </c>
      <c r="AK989">
        <v>6</v>
      </c>
      <c r="AL989" t="s">
        <v>2025</v>
      </c>
      <c r="AM989" t="s">
        <v>2026</v>
      </c>
      <c r="AN989" t="s">
        <v>2027</v>
      </c>
      <c r="AO989" t="s">
        <v>3242</v>
      </c>
      <c r="AP989" t="s">
        <v>11697</v>
      </c>
      <c r="AQ989" t="s">
        <v>74</v>
      </c>
      <c r="AR989" t="s">
        <v>3243</v>
      </c>
      <c r="AS989" t="s">
        <v>3244</v>
      </c>
      <c r="AT989" t="s">
        <v>13966</v>
      </c>
      <c r="AU989">
        <v>2005</v>
      </c>
      <c r="AV989">
        <v>40</v>
      </c>
      <c r="AW989">
        <v>7</v>
      </c>
      <c r="AX989" t="s">
        <v>74</v>
      </c>
      <c r="AY989" t="s">
        <v>74</v>
      </c>
      <c r="AZ989" t="s">
        <v>74</v>
      </c>
      <c r="BA989" t="s">
        <v>74</v>
      </c>
      <c r="BB989">
        <v>1023</v>
      </c>
      <c r="BC989">
        <v>1042</v>
      </c>
      <c r="BD989" t="s">
        <v>74</v>
      </c>
      <c r="BE989" t="s">
        <v>14668</v>
      </c>
      <c r="BF989" t="str">
        <f>HYPERLINK("http://dx.doi.org/10.1111/j.1945-5100.2005.tb00171.x","http://dx.doi.org/10.1111/j.1945-5100.2005.tb00171.x")</f>
        <v>http://dx.doi.org/10.1111/j.1945-5100.2005.tb00171.x</v>
      </c>
      <c r="BG989" t="s">
        <v>74</v>
      </c>
      <c r="BH989" t="s">
        <v>74</v>
      </c>
      <c r="BI989">
        <v>20</v>
      </c>
      <c r="BJ989" t="s">
        <v>1348</v>
      </c>
      <c r="BK989" t="s">
        <v>98</v>
      </c>
      <c r="BL989" t="s">
        <v>1348</v>
      </c>
      <c r="BM989" t="s">
        <v>14669</v>
      </c>
      <c r="BN989" t="s">
        <v>74</v>
      </c>
      <c r="BO989" t="s">
        <v>1900</v>
      </c>
      <c r="BP989" t="s">
        <v>74</v>
      </c>
      <c r="BQ989" t="s">
        <v>74</v>
      </c>
      <c r="BR989" t="s">
        <v>101</v>
      </c>
      <c r="BS989" t="s">
        <v>14670</v>
      </c>
      <c r="BT989" t="str">
        <f>HYPERLINK("https%3A%2F%2Fwww.webofscience.com%2Fwos%2Fwoscc%2Ffull-record%2FWOS:000232257500006","View Full Record in Web of Science")</f>
        <v>View Full Record in Web of Science</v>
      </c>
    </row>
    <row r="990" spans="1:72" x14ac:dyDescent="0.15">
      <c r="A990" t="s">
        <v>72</v>
      </c>
      <c r="B990" t="s">
        <v>14671</v>
      </c>
      <c r="C990" t="s">
        <v>74</v>
      </c>
      <c r="D990" t="s">
        <v>74</v>
      </c>
      <c r="E990" t="s">
        <v>74</v>
      </c>
      <c r="F990" t="s">
        <v>14671</v>
      </c>
      <c r="G990" t="s">
        <v>74</v>
      </c>
      <c r="H990" t="s">
        <v>74</v>
      </c>
      <c r="I990" t="s">
        <v>14672</v>
      </c>
      <c r="J990" t="s">
        <v>10244</v>
      </c>
      <c r="K990" t="s">
        <v>74</v>
      </c>
      <c r="L990" t="s">
        <v>74</v>
      </c>
      <c r="M990" t="s">
        <v>77</v>
      </c>
      <c r="N990" t="s">
        <v>78</v>
      </c>
      <c r="O990" t="s">
        <v>74</v>
      </c>
      <c r="P990" t="s">
        <v>74</v>
      </c>
      <c r="Q990" t="s">
        <v>74</v>
      </c>
      <c r="R990" t="s">
        <v>74</v>
      </c>
      <c r="S990" t="s">
        <v>74</v>
      </c>
      <c r="T990" t="s">
        <v>74</v>
      </c>
      <c r="U990" t="s">
        <v>14673</v>
      </c>
      <c r="V990" t="s">
        <v>14674</v>
      </c>
      <c r="W990" t="s">
        <v>12970</v>
      </c>
      <c r="X990" t="s">
        <v>1738</v>
      </c>
      <c r="Y990" t="s">
        <v>12971</v>
      </c>
      <c r="Z990" t="s">
        <v>14675</v>
      </c>
      <c r="AA990" t="s">
        <v>14676</v>
      </c>
      <c r="AB990" t="s">
        <v>14677</v>
      </c>
      <c r="AC990" t="s">
        <v>74</v>
      </c>
      <c r="AD990" t="s">
        <v>74</v>
      </c>
      <c r="AE990" t="s">
        <v>74</v>
      </c>
      <c r="AF990" t="s">
        <v>74</v>
      </c>
      <c r="AG990">
        <v>51</v>
      </c>
      <c r="AH990">
        <v>4</v>
      </c>
      <c r="AI990">
        <v>4</v>
      </c>
      <c r="AJ990">
        <v>0</v>
      </c>
      <c r="AK990">
        <v>5</v>
      </c>
      <c r="AL990" t="s">
        <v>10250</v>
      </c>
      <c r="AM990" t="s">
        <v>14678</v>
      </c>
      <c r="AN990" t="s">
        <v>14679</v>
      </c>
      <c r="AO990" t="s">
        <v>10253</v>
      </c>
      <c r="AP990" t="s">
        <v>10254</v>
      </c>
      <c r="AQ990" t="s">
        <v>74</v>
      </c>
      <c r="AR990" t="s">
        <v>10255</v>
      </c>
      <c r="AS990" t="s">
        <v>10256</v>
      </c>
      <c r="AT990" t="s">
        <v>13966</v>
      </c>
      <c r="AU990">
        <v>2005</v>
      </c>
      <c r="AV990">
        <v>89</v>
      </c>
      <c r="AW990" t="s">
        <v>4815</v>
      </c>
      <c r="AX990" t="s">
        <v>74</v>
      </c>
      <c r="AY990" t="s">
        <v>74</v>
      </c>
      <c r="AZ990" t="s">
        <v>74</v>
      </c>
      <c r="BA990" t="s">
        <v>74</v>
      </c>
      <c r="BB990">
        <v>17</v>
      </c>
      <c r="BC990">
        <v>36</v>
      </c>
      <c r="BD990" t="s">
        <v>74</v>
      </c>
      <c r="BE990" t="s">
        <v>14680</v>
      </c>
      <c r="BF990" t="str">
        <f>HYPERLINK("http://dx.doi.org/10.1007/s00703-005-0119-x","http://dx.doi.org/10.1007/s00703-005-0119-x")</f>
        <v>http://dx.doi.org/10.1007/s00703-005-0119-x</v>
      </c>
      <c r="BG990" t="s">
        <v>74</v>
      </c>
      <c r="BH990" t="s">
        <v>74</v>
      </c>
      <c r="BI990">
        <v>20</v>
      </c>
      <c r="BJ990" t="s">
        <v>2033</v>
      </c>
      <c r="BK990" t="s">
        <v>98</v>
      </c>
      <c r="BL990" t="s">
        <v>2033</v>
      </c>
      <c r="BM990" t="s">
        <v>14681</v>
      </c>
      <c r="BN990" t="s">
        <v>74</v>
      </c>
      <c r="BO990" t="s">
        <v>74</v>
      </c>
      <c r="BP990" t="s">
        <v>74</v>
      </c>
      <c r="BQ990" t="s">
        <v>74</v>
      </c>
      <c r="BR990" t="s">
        <v>101</v>
      </c>
      <c r="BS990" t="s">
        <v>14682</v>
      </c>
      <c r="BT990" t="str">
        <f>HYPERLINK("https%3A%2F%2Fwww.webofscience.com%2Fwos%2Fwoscc%2Ffull-record%2FWOS:000230963600003","View Full Record in Web of Science")</f>
        <v>View Full Record in Web of Science</v>
      </c>
    </row>
    <row r="991" spans="1:72" x14ac:dyDescent="0.15">
      <c r="A991" t="s">
        <v>72</v>
      </c>
      <c r="B991" t="s">
        <v>14683</v>
      </c>
      <c r="C991" t="s">
        <v>74</v>
      </c>
      <c r="D991" t="s">
        <v>74</v>
      </c>
      <c r="E991" t="s">
        <v>74</v>
      </c>
      <c r="F991" t="s">
        <v>14683</v>
      </c>
      <c r="G991" t="s">
        <v>74</v>
      </c>
      <c r="H991" t="s">
        <v>74</v>
      </c>
      <c r="I991" t="s">
        <v>14684</v>
      </c>
      <c r="J991" t="s">
        <v>14685</v>
      </c>
      <c r="K991" t="s">
        <v>74</v>
      </c>
      <c r="L991" t="s">
        <v>74</v>
      </c>
      <c r="M991" t="s">
        <v>77</v>
      </c>
      <c r="N991" t="s">
        <v>78</v>
      </c>
      <c r="O991" t="s">
        <v>74</v>
      </c>
      <c r="P991" t="s">
        <v>74</v>
      </c>
      <c r="Q991" t="s">
        <v>74</v>
      </c>
      <c r="R991" t="s">
        <v>74</v>
      </c>
      <c r="S991" t="s">
        <v>74</v>
      </c>
      <c r="T991" t="s">
        <v>74</v>
      </c>
      <c r="U991" t="s">
        <v>14686</v>
      </c>
      <c r="V991" t="s">
        <v>14687</v>
      </c>
      <c r="W991" t="s">
        <v>14688</v>
      </c>
      <c r="X991" t="s">
        <v>6988</v>
      </c>
      <c r="Y991" t="s">
        <v>14689</v>
      </c>
      <c r="Z991" t="s">
        <v>14690</v>
      </c>
      <c r="AA991" t="s">
        <v>74</v>
      </c>
      <c r="AB991" t="s">
        <v>74</v>
      </c>
      <c r="AC991" t="s">
        <v>74</v>
      </c>
      <c r="AD991" t="s">
        <v>74</v>
      </c>
      <c r="AE991" t="s">
        <v>74</v>
      </c>
      <c r="AF991" t="s">
        <v>74</v>
      </c>
      <c r="AG991">
        <v>59</v>
      </c>
      <c r="AH991">
        <v>39</v>
      </c>
      <c r="AI991">
        <v>47</v>
      </c>
      <c r="AJ991">
        <v>0</v>
      </c>
      <c r="AK991">
        <v>31</v>
      </c>
      <c r="AL991" t="s">
        <v>88</v>
      </c>
      <c r="AM991" t="s">
        <v>89</v>
      </c>
      <c r="AN991" t="s">
        <v>3984</v>
      </c>
      <c r="AO991" t="s">
        <v>14691</v>
      </c>
      <c r="AP991" t="s">
        <v>14692</v>
      </c>
      <c r="AQ991" t="s">
        <v>74</v>
      </c>
      <c r="AR991" t="s">
        <v>14693</v>
      </c>
      <c r="AS991" t="s">
        <v>14694</v>
      </c>
      <c r="AT991" t="s">
        <v>13966</v>
      </c>
      <c r="AU991">
        <v>2005</v>
      </c>
      <c r="AV991">
        <v>50</v>
      </c>
      <c r="AW991">
        <v>1</v>
      </c>
      <c r="AX991" t="s">
        <v>74</v>
      </c>
      <c r="AY991" t="s">
        <v>74</v>
      </c>
      <c r="AZ991" t="s">
        <v>74</v>
      </c>
      <c r="BA991" t="s">
        <v>74</v>
      </c>
      <c r="BB991">
        <v>90</v>
      </c>
      <c r="BC991">
        <v>101</v>
      </c>
      <c r="BD991" t="s">
        <v>74</v>
      </c>
      <c r="BE991" t="s">
        <v>14695</v>
      </c>
      <c r="BF991" t="str">
        <f>HYPERLINK("http://dx.doi.org/10.1007/s00248-004-0116-5","http://dx.doi.org/10.1007/s00248-004-0116-5")</f>
        <v>http://dx.doi.org/10.1007/s00248-004-0116-5</v>
      </c>
      <c r="BG991" t="s">
        <v>74</v>
      </c>
      <c r="BH991" t="s">
        <v>74</v>
      </c>
      <c r="BI991">
        <v>12</v>
      </c>
      <c r="BJ991" t="s">
        <v>7715</v>
      </c>
      <c r="BK991" t="s">
        <v>98</v>
      </c>
      <c r="BL991" t="s">
        <v>7716</v>
      </c>
      <c r="BM991" t="s">
        <v>14696</v>
      </c>
      <c r="BN991">
        <v>16052379</v>
      </c>
      <c r="BO991" t="s">
        <v>74</v>
      </c>
      <c r="BP991" t="s">
        <v>74</v>
      </c>
      <c r="BQ991" t="s">
        <v>74</v>
      </c>
      <c r="BR991" t="s">
        <v>101</v>
      </c>
      <c r="BS991" t="s">
        <v>14697</v>
      </c>
      <c r="BT991" t="str">
        <f>HYPERLINK("https%3A%2F%2Fwww.webofscience.com%2Fwos%2Fwoscc%2Ffull-record%2FWOS:000232267300010","View Full Record in Web of Science")</f>
        <v>View Full Record in Web of Science</v>
      </c>
    </row>
    <row r="992" spans="1:72" x14ac:dyDescent="0.15">
      <c r="A992" t="s">
        <v>72</v>
      </c>
      <c r="B992" t="s">
        <v>14698</v>
      </c>
      <c r="C992" t="s">
        <v>74</v>
      </c>
      <c r="D992" t="s">
        <v>74</v>
      </c>
      <c r="E992" t="s">
        <v>74</v>
      </c>
      <c r="F992" t="s">
        <v>14698</v>
      </c>
      <c r="G992" t="s">
        <v>74</v>
      </c>
      <c r="H992" t="s">
        <v>74</v>
      </c>
      <c r="I992" t="s">
        <v>14699</v>
      </c>
      <c r="J992" t="s">
        <v>14700</v>
      </c>
      <c r="K992" t="s">
        <v>74</v>
      </c>
      <c r="L992" t="s">
        <v>74</v>
      </c>
      <c r="M992" t="s">
        <v>77</v>
      </c>
      <c r="N992" t="s">
        <v>78</v>
      </c>
      <c r="O992" t="s">
        <v>74</v>
      </c>
      <c r="P992" t="s">
        <v>74</v>
      </c>
      <c r="Q992" t="s">
        <v>74</v>
      </c>
      <c r="R992" t="s">
        <v>74</v>
      </c>
      <c r="S992" t="s">
        <v>74</v>
      </c>
      <c r="T992" t="s">
        <v>14701</v>
      </c>
      <c r="U992" t="s">
        <v>74</v>
      </c>
      <c r="V992" t="s">
        <v>14702</v>
      </c>
      <c r="W992" t="s">
        <v>14703</v>
      </c>
      <c r="X992" t="s">
        <v>74</v>
      </c>
      <c r="Y992" t="s">
        <v>14704</v>
      </c>
      <c r="Z992" t="s">
        <v>14705</v>
      </c>
      <c r="AA992" t="s">
        <v>14706</v>
      </c>
      <c r="AB992" t="s">
        <v>14707</v>
      </c>
      <c r="AC992" t="s">
        <v>74</v>
      </c>
      <c r="AD992" t="s">
        <v>74</v>
      </c>
      <c r="AE992" t="s">
        <v>74</v>
      </c>
      <c r="AF992" t="s">
        <v>74</v>
      </c>
      <c r="AG992">
        <v>26</v>
      </c>
      <c r="AH992">
        <v>12</v>
      </c>
      <c r="AI992">
        <v>12</v>
      </c>
      <c r="AJ992">
        <v>0</v>
      </c>
      <c r="AK992">
        <v>2</v>
      </c>
      <c r="AL992" t="s">
        <v>4749</v>
      </c>
      <c r="AM992" t="s">
        <v>4750</v>
      </c>
      <c r="AN992" t="s">
        <v>14708</v>
      </c>
      <c r="AO992" t="s">
        <v>14709</v>
      </c>
      <c r="AP992" t="s">
        <v>74</v>
      </c>
      <c r="AQ992" t="s">
        <v>74</v>
      </c>
      <c r="AR992" t="s">
        <v>14710</v>
      </c>
      <c r="AS992" t="s">
        <v>14711</v>
      </c>
      <c r="AT992" t="s">
        <v>14712</v>
      </c>
      <c r="AU992">
        <v>2005</v>
      </c>
      <c r="AV992">
        <v>36</v>
      </c>
      <c r="AW992">
        <v>3</v>
      </c>
      <c r="AX992" t="s">
        <v>74</v>
      </c>
      <c r="AY992" t="s">
        <v>74</v>
      </c>
      <c r="AZ992" t="s">
        <v>74</v>
      </c>
      <c r="BA992" t="s">
        <v>74</v>
      </c>
      <c r="BB992">
        <v>201</v>
      </c>
      <c r="BC992">
        <v>217</v>
      </c>
      <c r="BD992" t="s">
        <v>74</v>
      </c>
      <c r="BE992" t="s">
        <v>14713</v>
      </c>
      <c r="BF992" t="str">
        <f>HYPERLINK("http://dx.doi.org/10.1080/00908320591004298","http://dx.doi.org/10.1080/00908320591004298")</f>
        <v>http://dx.doi.org/10.1080/00908320591004298</v>
      </c>
      <c r="BG992" t="s">
        <v>74</v>
      </c>
      <c r="BH992" t="s">
        <v>74</v>
      </c>
      <c r="BI992">
        <v>17</v>
      </c>
      <c r="BJ992" t="s">
        <v>14714</v>
      </c>
      <c r="BK992" t="s">
        <v>5934</v>
      </c>
      <c r="BL992" t="s">
        <v>14715</v>
      </c>
      <c r="BM992" t="s">
        <v>14716</v>
      </c>
      <c r="BN992" t="s">
        <v>74</v>
      </c>
      <c r="BO992" t="s">
        <v>74</v>
      </c>
      <c r="BP992" t="s">
        <v>74</v>
      </c>
      <c r="BQ992" t="s">
        <v>74</v>
      </c>
      <c r="BR992" t="s">
        <v>101</v>
      </c>
      <c r="BS992" t="s">
        <v>14717</v>
      </c>
      <c r="BT992" t="str">
        <f>HYPERLINK("https%3A%2F%2Fwww.webofscience.com%2Fwos%2Fwoscc%2Ffull-record%2FWOS:000230486100001","View Full Record in Web of Science")</f>
        <v>View Full Record in Web of Science</v>
      </c>
    </row>
    <row r="993" spans="1:72" x14ac:dyDescent="0.15">
      <c r="A993" t="s">
        <v>72</v>
      </c>
      <c r="B993" t="s">
        <v>14718</v>
      </c>
      <c r="C993" t="s">
        <v>74</v>
      </c>
      <c r="D993" t="s">
        <v>74</v>
      </c>
      <c r="E993" t="s">
        <v>74</v>
      </c>
      <c r="F993" t="s">
        <v>14718</v>
      </c>
      <c r="G993" t="s">
        <v>74</v>
      </c>
      <c r="H993" t="s">
        <v>74</v>
      </c>
      <c r="I993" t="s">
        <v>14719</v>
      </c>
      <c r="J993" t="s">
        <v>3738</v>
      </c>
      <c r="K993" t="s">
        <v>74</v>
      </c>
      <c r="L993" t="s">
        <v>74</v>
      </c>
      <c r="M993" t="s">
        <v>77</v>
      </c>
      <c r="N993" t="s">
        <v>78</v>
      </c>
      <c r="O993" t="s">
        <v>74</v>
      </c>
      <c r="P993" t="s">
        <v>74</v>
      </c>
      <c r="Q993" t="s">
        <v>74</v>
      </c>
      <c r="R993" t="s">
        <v>74</v>
      </c>
      <c r="S993" t="s">
        <v>74</v>
      </c>
      <c r="T993" t="s">
        <v>74</v>
      </c>
      <c r="U993" t="s">
        <v>14720</v>
      </c>
      <c r="V993" t="s">
        <v>14721</v>
      </c>
      <c r="W993" t="s">
        <v>14722</v>
      </c>
      <c r="X993" t="s">
        <v>4847</v>
      </c>
      <c r="Y993" t="s">
        <v>14723</v>
      </c>
      <c r="Z993" t="s">
        <v>74</v>
      </c>
      <c r="AA993" t="s">
        <v>14724</v>
      </c>
      <c r="AB993" t="s">
        <v>14725</v>
      </c>
      <c r="AC993" t="s">
        <v>74</v>
      </c>
      <c r="AD993" t="s">
        <v>74</v>
      </c>
      <c r="AE993" t="s">
        <v>74</v>
      </c>
      <c r="AF993" t="s">
        <v>74</v>
      </c>
      <c r="AG993">
        <v>23</v>
      </c>
      <c r="AH993">
        <v>5</v>
      </c>
      <c r="AI993">
        <v>7</v>
      </c>
      <c r="AJ993">
        <v>0</v>
      </c>
      <c r="AK993">
        <v>1</v>
      </c>
      <c r="AL993" t="s">
        <v>14217</v>
      </c>
      <c r="AM993" t="s">
        <v>89</v>
      </c>
      <c r="AN993" t="s">
        <v>14726</v>
      </c>
      <c r="AO993" t="s">
        <v>3745</v>
      </c>
      <c r="AP993" t="s">
        <v>3746</v>
      </c>
      <c r="AQ993" t="s">
        <v>74</v>
      </c>
      <c r="AR993" t="s">
        <v>3747</v>
      </c>
      <c r="AS993" t="s">
        <v>3748</v>
      </c>
      <c r="AT993" t="s">
        <v>14313</v>
      </c>
      <c r="AU993">
        <v>2005</v>
      </c>
      <c r="AV993">
        <v>45</v>
      </c>
      <c r="AW993">
        <v>4</v>
      </c>
      <c r="AX993" t="s">
        <v>74</v>
      </c>
      <c r="AY993" t="s">
        <v>74</v>
      </c>
      <c r="AZ993" t="s">
        <v>74</v>
      </c>
      <c r="BA993" t="s">
        <v>74</v>
      </c>
      <c r="BB993">
        <v>455</v>
      </c>
      <c r="BC993">
        <v>473</v>
      </c>
      <c r="BD993" t="s">
        <v>74</v>
      </c>
      <c r="BE993" t="s">
        <v>74</v>
      </c>
      <c r="BF993" t="s">
        <v>74</v>
      </c>
      <c r="BG993" t="s">
        <v>74</v>
      </c>
      <c r="BH993" t="s">
        <v>74</v>
      </c>
      <c r="BI993">
        <v>19</v>
      </c>
      <c r="BJ993" t="s">
        <v>629</v>
      </c>
      <c r="BK993" t="s">
        <v>98</v>
      </c>
      <c r="BL993" t="s">
        <v>629</v>
      </c>
      <c r="BM993" t="s">
        <v>14727</v>
      </c>
      <c r="BN993" t="s">
        <v>74</v>
      </c>
      <c r="BO993" t="s">
        <v>74</v>
      </c>
      <c r="BP993" t="s">
        <v>74</v>
      </c>
      <c r="BQ993" t="s">
        <v>74</v>
      </c>
      <c r="BR993" t="s">
        <v>101</v>
      </c>
      <c r="BS993" t="s">
        <v>14728</v>
      </c>
      <c r="BT993" t="str">
        <f>HYPERLINK("https%3A%2F%2Fwww.webofscience.com%2Fwos%2Fwoscc%2Ffull-record%2FWOS:000231482600001","View Full Record in Web of Science")</f>
        <v>View Full Record in Web of Science</v>
      </c>
    </row>
    <row r="994" spans="1:72" x14ac:dyDescent="0.15">
      <c r="A994" t="s">
        <v>72</v>
      </c>
      <c r="B994" t="s">
        <v>14729</v>
      </c>
      <c r="C994" t="s">
        <v>74</v>
      </c>
      <c r="D994" t="s">
        <v>74</v>
      </c>
      <c r="E994" t="s">
        <v>74</v>
      </c>
      <c r="F994" t="s">
        <v>14729</v>
      </c>
      <c r="G994" t="s">
        <v>74</v>
      </c>
      <c r="H994" t="s">
        <v>74</v>
      </c>
      <c r="I994" t="s">
        <v>14730</v>
      </c>
      <c r="J994" t="s">
        <v>11833</v>
      </c>
      <c r="K994" t="s">
        <v>74</v>
      </c>
      <c r="L994" t="s">
        <v>74</v>
      </c>
      <c r="M994" t="s">
        <v>77</v>
      </c>
      <c r="N994" t="s">
        <v>289</v>
      </c>
      <c r="O994" t="s">
        <v>74</v>
      </c>
      <c r="P994" t="s">
        <v>74</v>
      </c>
      <c r="Q994" t="s">
        <v>74</v>
      </c>
      <c r="R994" t="s">
        <v>74</v>
      </c>
      <c r="S994" t="s">
        <v>74</v>
      </c>
      <c r="T994" t="s">
        <v>74</v>
      </c>
      <c r="U994" t="s">
        <v>14731</v>
      </c>
      <c r="V994" t="s">
        <v>14732</v>
      </c>
      <c r="W994" t="s">
        <v>14733</v>
      </c>
      <c r="X994" t="s">
        <v>7128</v>
      </c>
      <c r="Y994" t="s">
        <v>14734</v>
      </c>
      <c r="Z994" t="s">
        <v>14735</v>
      </c>
      <c r="AA994" t="s">
        <v>14736</v>
      </c>
      <c r="AB994" t="s">
        <v>14737</v>
      </c>
      <c r="AC994" t="s">
        <v>74</v>
      </c>
      <c r="AD994" t="s">
        <v>74</v>
      </c>
      <c r="AE994" t="s">
        <v>74</v>
      </c>
      <c r="AF994" t="s">
        <v>74</v>
      </c>
      <c r="AG994">
        <v>107</v>
      </c>
      <c r="AH994">
        <v>55</v>
      </c>
      <c r="AI994">
        <v>59</v>
      </c>
      <c r="AJ994">
        <v>1</v>
      </c>
      <c r="AK994">
        <v>25</v>
      </c>
      <c r="AL994" t="s">
        <v>2025</v>
      </c>
      <c r="AM994" t="s">
        <v>2026</v>
      </c>
      <c r="AN994" t="s">
        <v>2027</v>
      </c>
      <c r="AO994" t="s">
        <v>11845</v>
      </c>
      <c r="AP994" t="s">
        <v>11846</v>
      </c>
      <c r="AQ994" t="s">
        <v>74</v>
      </c>
      <c r="AR994" t="s">
        <v>11847</v>
      </c>
      <c r="AS994" t="s">
        <v>11848</v>
      </c>
      <c r="AT994" t="s">
        <v>14313</v>
      </c>
      <c r="AU994">
        <v>2005</v>
      </c>
      <c r="AV994">
        <v>81</v>
      </c>
      <c r="AW994">
        <v>4</v>
      </c>
      <c r="AX994" t="s">
        <v>74</v>
      </c>
      <c r="AY994" t="s">
        <v>74</v>
      </c>
      <c r="AZ994" t="s">
        <v>74</v>
      </c>
      <c r="BA994" t="s">
        <v>74</v>
      </c>
      <c r="BB994">
        <v>807</v>
      </c>
      <c r="BC994">
        <v>818</v>
      </c>
      <c r="BD994" t="s">
        <v>74</v>
      </c>
      <c r="BE994" t="s">
        <v>14738</v>
      </c>
      <c r="BF994" t="str">
        <f>HYPERLINK("http://dx.doi.org/10.1562/2005-03-02-RA-452R.1","http://dx.doi.org/10.1562/2005-03-02-RA-452R.1")</f>
        <v>http://dx.doi.org/10.1562/2005-03-02-RA-452R.1</v>
      </c>
      <c r="BG994" t="s">
        <v>74</v>
      </c>
      <c r="BH994" t="s">
        <v>74</v>
      </c>
      <c r="BI994">
        <v>12</v>
      </c>
      <c r="BJ994" t="s">
        <v>11850</v>
      </c>
      <c r="BK994" t="s">
        <v>98</v>
      </c>
      <c r="BL994" t="s">
        <v>11850</v>
      </c>
      <c r="BM994" t="s">
        <v>14739</v>
      </c>
      <c r="BN994">
        <v>15839753</v>
      </c>
      <c r="BO994" t="s">
        <v>74</v>
      </c>
      <c r="BP994" t="s">
        <v>74</v>
      </c>
      <c r="BQ994" t="s">
        <v>74</v>
      </c>
      <c r="BR994" t="s">
        <v>101</v>
      </c>
      <c r="BS994" t="s">
        <v>14740</v>
      </c>
      <c r="BT994" t="str">
        <f>HYPERLINK("https%3A%2F%2Fwww.webofscience.com%2Fwos%2Fwoscc%2Ffull-record%2FWOS:000231367600011","View Full Record in Web of Science")</f>
        <v>View Full Record in Web of Science</v>
      </c>
    </row>
    <row r="995" spans="1:72" x14ac:dyDescent="0.15">
      <c r="A995" t="s">
        <v>72</v>
      </c>
      <c r="B995" t="s">
        <v>14741</v>
      </c>
      <c r="C995" t="s">
        <v>74</v>
      </c>
      <c r="D995" t="s">
        <v>74</v>
      </c>
      <c r="E995" t="s">
        <v>74</v>
      </c>
      <c r="F995" t="s">
        <v>14742</v>
      </c>
      <c r="G995" t="s">
        <v>74</v>
      </c>
      <c r="H995" t="s">
        <v>74</v>
      </c>
      <c r="I995" t="s">
        <v>14743</v>
      </c>
      <c r="J995" t="s">
        <v>14744</v>
      </c>
      <c r="K995" t="s">
        <v>74</v>
      </c>
      <c r="L995" t="s">
        <v>74</v>
      </c>
      <c r="M995" t="s">
        <v>77</v>
      </c>
      <c r="N995" t="s">
        <v>52</v>
      </c>
      <c r="O995" t="s">
        <v>74</v>
      </c>
      <c r="P995" t="s">
        <v>74</v>
      </c>
      <c r="Q995" t="s">
        <v>74</v>
      </c>
      <c r="R995" t="s">
        <v>74</v>
      </c>
      <c r="S995" t="s">
        <v>74</v>
      </c>
      <c r="T995" t="s">
        <v>74</v>
      </c>
      <c r="U995" t="s">
        <v>74</v>
      </c>
      <c r="V995" t="s">
        <v>74</v>
      </c>
      <c r="W995" t="s">
        <v>14745</v>
      </c>
      <c r="X995" t="s">
        <v>6243</v>
      </c>
      <c r="Y995" t="s">
        <v>74</v>
      </c>
      <c r="Z995" t="s">
        <v>14746</v>
      </c>
      <c r="AA995" t="s">
        <v>14747</v>
      </c>
      <c r="AB995" t="s">
        <v>74</v>
      </c>
      <c r="AC995" t="s">
        <v>74</v>
      </c>
      <c r="AD995" t="s">
        <v>74</v>
      </c>
      <c r="AE995" t="s">
        <v>74</v>
      </c>
      <c r="AF995" t="s">
        <v>74</v>
      </c>
      <c r="AG995">
        <v>0</v>
      </c>
      <c r="AH995">
        <v>2</v>
      </c>
      <c r="AI995">
        <v>3</v>
      </c>
      <c r="AJ995">
        <v>0</v>
      </c>
      <c r="AK995">
        <v>4</v>
      </c>
      <c r="AL995" t="s">
        <v>14748</v>
      </c>
      <c r="AM995" t="s">
        <v>2517</v>
      </c>
      <c r="AN995" t="s">
        <v>14749</v>
      </c>
      <c r="AO995" t="s">
        <v>14750</v>
      </c>
      <c r="AP995" t="s">
        <v>74</v>
      </c>
      <c r="AQ995" t="s">
        <v>74</v>
      </c>
      <c r="AR995" t="s">
        <v>14744</v>
      </c>
      <c r="AS995" t="s">
        <v>14751</v>
      </c>
      <c r="AT995" t="s">
        <v>13966</v>
      </c>
      <c r="AU995">
        <v>2005</v>
      </c>
      <c r="AV995">
        <v>44</v>
      </c>
      <c r="AW995">
        <v>4</v>
      </c>
      <c r="AX995" t="s">
        <v>74</v>
      </c>
      <c r="AY995" t="s">
        <v>74</v>
      </c>
      <c r="AZ995" t="s">
        <v>74</v>
      </c>
      <c r="BA995">
        <v>4</v>
      </c>
      <c r="BB995">
        <v>2</v>
      </c>
      <c r="BC995">
        <v>2</v>
      </c>
      <c r="BD995" t="s">
        <v>74</v>
      </c>
      <c r="BE995" t="s">
        <v>74</v>
      </c>
      <c r="BF995" t="s">
        <v>74</v>
      </c>
      <c r="BG995" t="s">
        <v>74</v>
      </c>
      <c r="BH995" t="s">
        <v>74</v>
      </c>
      <c r="BI995">
        <v>1</v>
      </c>
      <c r="BJ995" t="s">
        <v>6377</v>
      </c>
      <c r="BK995" t="s">
        <v>98</v>
      </c>
      <c r="BL995" t="s">
        <v>6377</v>
      </c>
      <c r="BM995" t="s">
        <v>14752</v>
      </c>
      <c r="BN995" t="s">
        <v>74</v>
      </c>
      <c r="BO995" t="s">
        <v>74</v>
      </c>
      <c r="BP995" t="s">
        <v>74</v>
      </c>
      <c r="BQ995" t="s">
        <v>74</v>
      </c>
      <c r="BR995" t="s">
        <v>101</v>
      </c>
      <c r="BS995" t="s">
        <v>14753</v>
      </c>
      <c r="BT995" t="str">
        <f>HYPERLINK("https%3A%2F%2Fwww.webofscience.com%2Fwos%2Fwoscc%2Ffull-record%2FWOS:000205501500005","View Full Record in Web of Science")</f>
        <v>View Full Record in Web of Science</v>
      </c>
    </row>
    <row r="996" spans="1:72" x14ac:dyDescent="0.15">
      <c r="A996" t="s">
        <v>72</v>
      </c>
      <c r="B996" t="s">
        <v>14754</v>
      </c>
      <c r="C996" t="s">
        <v>74</v>
      </c>
      <c r="D996" t="s">
        <v>74</v>
      </c>
      <c r="E996" t="s">
        <v>74</v>
      </c>
      <c r="F996" t="s">
        <v>14755</v>
      </c>
      <c r="G996" t="s">
        <v>74</v>
      </c>
      <c r="H996" t="s">
        <v>74</v>
      </c>
      <c r="I996" t="s">
        <v>14756</v>
      </c>
      <c r="J996" t="s">
        <v>14744</v>
      </c>
      <c r="K996" t="s">
        <v>74</v>
      </c>
      <c r="L996" t="s">
        <v>74</v>
      </c>
      <c r="M996" t="s">
        <v>77</v>
      </c>
      <c r="N996" t="s">
        <v>52</v>
      </c>
      <c r="O996" t="s">
        <v>74</v>
      </c>
      <c r="P996" t="s">
        <v>74</v>
      </c>
      <c r="Q996" t="s">
        <v>74</v>
      </c>
      <c r="R996" t="s">
        <v>74</v>
      </c>
      <c r="S996" t="s">
        <v>74</v>
      </c>
      <c r="T996" t="s">
        <v>74</v>
      </c>
      <c r="U996" t="s">
        <v>74</v>
      </c>
      <c r="V996" t="s">
        <v>74</v>
      </c>
      <c r="W996" t="s">
        <v>14757</v>
      </c>
      <c r="X996" t="s">
        <v>74</v>
      </c>
      <c r="Y996" t="s">
        <v>74</v>
      </c>
      <c r="Z996" t="s">
        <v>14758</v>
      </c>
      <c r="AA996" t="s">
        <v>14759</v>
      </c>
      <c r="AB996" t="s">
        <v>14760</v>
      </c>
      <c r="AC996" t="s">
        <v>74</v>
      </c>
      <c r="AD996" t="s">
        <v>74</v>
      </c>
      <c r="AE996" t="s">
        <v>74</v>
      </c>
      <c r="AF996" t="s">
        <v>74</v>
      </c>
      <c r="AG996">
        <v>0</v>
      </c>
      <c r="AH996">
        <v>0</v>
      </c>
      <c r="AI996">
        <v>0</v>
      </c>
      <c r="AJ996">
        <v>0</v>
      </c>
      <c r="AK996">
        <v>1</v>
      </c>
      <c r="AL996" t="s">
        <v>14748</v>
      </c>
      <c r="AM996" t="s">
        <v>2517</v>
      </c>
      <c r="AN996" t="s">
        <v>14749</v>
      </c>
      <c r="AO996" t="s">
        <v>14750</v>
      </c>
      <c r="AP996" t="s">
        <v>74</v>
      </c>
      <c r="AQ996" t="s">
        <v>74</v>
      </c>
      <c r="AR996" t="s">
        <v>14744</v>
      </c>
      <c r="AS996" t="s">
        <v>14751</v>
      </c>
      <c r="AT996" t="s">
        <v>13966</v>
      </c>
      <c r="AU996">
        <v>2005</v>
      </c>
      <c r="AV996">
        <v>44</v>
      </c>
      <c r="AW996">
        <v>4</v>
      </c>
      <c r="AX996" t="s">
        <v>74</v>
      </c>
      <c r="AY996" t="s">
        <v>74</v>
      </c>
      <c r="AZ996" t="s">
        <v>74</v>
      </c>
      <c r="BA996">
        <v>36</v>
      </c>
      <c r="BB996">
        <v>15</v>
      </c>
      <c r="BC996">
        <v>16</v>
      </c>
      <c r="BD996" t="s">
        <v>74</v>
      </c>
      <c r="BE996" t="s">
        <v>74</v>
      </c>
      <c r="BF996" t="s">
        <v>74</v>
      </c>
      <c r="BG996" t="s">
        <v>74</v>
      </c>
      <c r="BH996" t="s">
        <v>74</v>
      </c>
      <c r="BI996">
        <v>2</v>
      </c>
      <c r="BJ996" t="s">
        <v>6377</v>
      </c>
      <c r="BK996" t="s">
        <v>98</v>
      </c>
      <c r="BL996" t="s">
        <v>6377</v>
      </c>
      <c r="BM996" t="s">
        <v>14752</v>
      </c>
      <c r="BN996" t="s">
        <v>74</v>
      </c>
      <c r="BO996" t="s">
        <v>74</v>
      </c>
      <c r="BP996" t="s">
        <v>74</v>
      </c>
      <c r="BQ996" t="s">
        <v>74</v>
      </c>
      <c r="BR996" t="s">
        <v>101</v>
      </c>
      <c r="BS996" t="s">
        <v>14761</v>
      </c>
      <c r="BT996" t="str">
        <f>HYPERLINK("https%3A%2F%2Fwww.webofscience.com%2Fwos%2Fwoscc%2Ffull-record%2FWOS:000205501500037","View Full Record in Web of Science")</f>
        <v>View Full Record in Web of Science</v>
      </c>
    </row>
    <row r="997" spans="1:72" x14ac:dyDescent="0.15">
      <c r="A997" t="s">
        <v>72</v>
      </c>
      <c r="B997" t="s">
        <v>14762</v>
      </c>
      <c r="C997" t="s">
        <v>74</v>
      </c>
      <c r="D997" t="s">
        <v>74</v>
      </c>
      <c r="E997" t="s">
        <v>74</v>
      </c>
      <c r="F997" t="s">
        <v>14763</v>
      </c>
      <c r="G997" t="s">
        <v>74</v>
      </c>
      <c r="H997" t="s">
        <v>74</v>
      </c>
      <c r="I997" t="s">
        <v>14764</v>
      </c>
      <c r="J997" t="s">
        <v>14744</v>
      </c>
      <c r="K997" t="s">
        <v>74</v>
      </c>
      <c r="L997" t="s">
        <v>74</v>
      </c>
      <c r="M997" t="s">
        <v>77</v>
      </c>
      <c r="N997" t="s">
        <v>52</v>
      </c>
      <c r="O997" t="s">
        <v>74</v>
      </c>
      <c r="P997" t="s">
        <v>74</v>
      </c>
      <c r="Q997" t="s">
        <v>74</v>
      </c>
      <c r="R997" t="s">
        <v>74</v>
      </c>
      <c r="S997" t="s">
        <v>74</v>
      </c>
      <c r="T997" t="s">
        <v>74</v>
      </c>
      <c r="U997" t="s">
        <v>74</v>
      </c>
      <c r="V997" t="s">
        <v>74</v>
      </c>
      <c r="W997" t="s">
        <v>14765</v>
      </c>
      <c r="X997" t="s">
        <v>14766</v>
      </c>
      <c r="Y997" t="s">
        <v>74</v>
      </c>
      <c r="Z997" t="s">
        <v>14767</v>
      </c>
      <c r="AA997" t="s">
        <v>14768</v>
      </c>
      <c r="AB997" t="s">
        <v>74</v>
      </c>
      <c r="AC997" t="s">
        <v>74</v>
      </c>
      <c r="AD997" t="s">
        <v>74</v>
      </c>
      <c r="AE997" t="s">
        <v>74</v>
      </c>
      <c r="AF997" t="s">
        <v>74</v>
      </c>
      <c r="AG997">
        <v>0</v>
      </c>
      <c r="AH997">
        <v>0</v>
      </c>
      <c r="AI997">
        <v>0</v>
      </c>
      <c r="AJ997">
        <v>0</v>
      </c>
      <c r="AK997">
        <v>0</v>
      </c>
      <c r="AL997" t="s">
        <v>14748</v>
      </c>
      <c r="AM997" t="s">
        <v>2517</v>
      </c>
      <c r="AN997" t="s">
        <v>14749</v>
      </c>
      <c r="AO997" t="s">
        <v>14750</v>
      </c>
      <c r="AP997" t="s">
        <v>74</v>
      </c>
      <c r="AQ997" t="s">
        <v>74</v>
      </c>
      <c r="AR997" t="s">
        <v>14744</v>
      </c>
      <c r="AS997" t="s">
        <v>14751</v>
      </c>
      <c r="AT997" t="s">
        <v>13966</v>
      </c>
      <c r="AU997">
        <v>2005</v>
      </c>
      <c r="AV997">
        <v>44</v>
      </c>
      <c r="AW997">
        <v>4</v>
      </c>
      <c r="AX997" t="s">
        <v>74</v>
      </c>
      <c r="AY997" t="s">
        <v>74</v>
      </c>
      <c r="AZ997" t="s">
        <v>74</v>
      </c>
      <c r="BA997">
        <v>101</v>
      </c>
      <c r="BB997">
        <v>42</v>
      </c>
      <c r="BC997">
        <v>43</v>
      </c>
      <c r="BD997" t="s">
        <v>74</v>
      </c>
      <c r="BE997" t="s">
        <v>74</v>
      </c>
      <c r="BF997" t="s">
        <v>74</v>
      </c>
      <c r="BG997" t="s">
        <v>74</v>
      </c>
      <c r="BH997" t="s">
        <v>74</v>
      </c>
      <c r="BI997">
        <v>2</v>
      </c>
      <c r="BJ997" t="s">
        <v>6377</v>
      </c>
      <c r="BK997" t="s">
        <v>98</v>
      </c>
      <c r="BL997" t="s">
        <v>6377</v>
      </c>
      <c r="BM997" t="s">
        <v>14752</v>
      </c>
      <c r="BN997" t="s">
        <v>74</v>
      </c>
      <c r="BO997" t="s">
        <v>74</v>
      </c>
      <c r="BP997" t="s">
        <v>74</v>
      </c>
      <c r="BQ997" t="s">
        <v>74</v>
      </c>
      <c r="BR997" t="s">
        <v>101</v>
      </c>
      <c r="BS997" t="s">
        <v>14769</v>
      </c>
      <c r="BT997" t="str">
        <f>HYPERLINK("https%3A%2F%2Fwww.webofscience.com%2Fwos%2Fwoscc%2Ffull-record%2FWOS:000205501500102","View Full Record in Web of Science")</f>
        <v>View Full Record in Web of Science</v>
      </c>
    </row>
    <row r="998" spans="1:72" x14ac:dyDescent="0.15">
      <c r="A998" t="s">
        <v>72</v>
      </c>
      <c r="B998" t="s">
        <v>14770</v>
      </c>
      <c r="C998" t="s">
        <v>74</v>
      </c>
      <c r="D998" t="s">
        <v>74</v>
      </c>
      <c r="E998" t="s">
        <v>74</v>
      </c>
      <c r="F998" t="s">
        <v>14771</v>
      </c>
      <c r="G998" t="s">
        <v>74</v>
      </c>
      <c r="H998" t="s">
        <v>74</v>
      </c>
      <c r="I998" t="s">
        <v>14772</v>
      </c>
      <c r="J998" t="s">
        <v>14744</v>
      </c>
      <c r="K998" t="s">
        <v>74</v>
      </c>
      <c r="L998" t="s">
        <v>74</v>
      </c>
      <c r="M998" t="s">
        <v>77</v>
      </c>
      <c r="N998" t="s">
        <v>52</v>
      </c>
      <c r="O998" t="s">
        <v>74</v>
      </c>
      <c r="P998" t="s">
        <v>74</v>
      </c>
      <c r="Q998" t="s">
        <v>74</v>
      </c>
      <c r="R998" t="s">
        <v>74</v>
      </c>
      <c r="S998" t="s">
        <v>74</v>
      </c>
      <c r="T998" t="s">
        <v>74</v>
      </c>
      <c r="U998" t="s">
        <v>74</v>
      </c>
      <c r="V998" t="s">
        <v>74</v>
      </c>
      <c r="W998" t="s">
        <v>74</v>
      </c>
      <c r="X998" t="s">
        <v>74</v>
      </c>
      <c r="Y998" t="s">
        <v>74</v>
      </c>
      <c r="Z998" t="s">
        <v>14773</v>
      </c>
      <c r="AA998" t="s">
        <v>2889</v>
      </c>
      <c r="AB998" t="s">
        <v>2890</v>
      </c>
      <c r="AC998" t="s">
        <v>74</v>
      </c>
      <c r="AD998" t="s">
        <v>74</v>
      </c>
      <c r="AE998" t="s">
        <v>74</v>
      </c>
      <c r="AF998" t="s">
        <v>74</v>
      </c>
      <c r="AG998">
        <v>0</v>
      </c>
      <c r="AH998">
        <v>0</v>
      </c>
      <c r="AI998">
        <v>0</v>
      </c>
      <c r="AJ998">
        <v>0</v>
      </c>
      <c r="AK998">
        <v>4</v>
      </c>
      <c r="AL998" t="s">
        <v>14748</v>
      </c>
      <c r="AM998" t="s">
        <v>2517</v>
      </c>
      <c r="AN998" t="s">
        <v>14749</v>
      </c>
      <c r="AO998" t="s">
        <v>14750</v>
      </c>
      <c r="AP998" t="s">
        <v>74</v>
      </c>
      <c r="AQ998" t="s">
        <v>74</v>
      </c>
      <c r="AR998" t="s">
        <v>14744</v>
      </c>
      <c r="AS998" t="s">
        <v>14751</v>
      </c>
      <c r="AT998" t="s">
        <v>13966</v>
      </c>
      <c r="AU998">
        <v>2005</v>
      </c>
      <c r="AV998">
        <v>44</v>
      </c>
      <c r="AW998">
        <v>4</v>
      </c>
      <c r="AX998" t="s">
        <v>74</v>
      </c>
      <c r="AY998" t="s">
        <v>74</v>
      </c>
      <c r="AZ998" t="s">
        <v>74</v>
      </c>
      <c r="BA998">
        <v>117</v>
      </c>
      <c r="BB998">
        <v>49</v>
      </c>
      <c r="BC998">
        <v>49</v>
      </c>
      <c r="BD998" t="s">
        <v>74</v>
      </c>
      <c r="BE998" t="s">
        <v>74</v>
      </c>
      <c r="BF998" t="s">
        <v>74</v>
      </c>
      <c r="BG998" t="s">
        <v>74</v>
      </c>
      <c r="BH998" t="s">
        <v>74</v>
      </c>
      <c r="BI998">
        <v>1</v>
      </c>
      <c r="BJ998" t="s">
        <v>6377</v>
      </c>
      <c r="BK998" t="s">
        <v>98</v>
      </c>
      <c r="BL998" t="s">
        <v>6377</v>
      </c>
      <c r="BM998" t="s">
        <v>14752</v>
      </c>
      <c r="BN998" t="s">
        <v>74</v>
      </c>
      <c r="BO998" t="s">
        <v>74</v>
      </c>
      <c r="BP998" t="s">
        <v>74</v>
      </c>
      <c r="BQ998" t="s">
        <v>74</v>
      </c>
      <c r="BR998" t="s">
        <v>101</v>
      </c>
      <c r="BS998" t="s">
        <v>14774</v>
      </c>
      <c r="BT998" t="str">
        <f>HYPERLINK("https%3A%2F%2Fwww.webofscience.com%2Fwos%2Fwoscc%2Ffull-record%2FWOS:000205501500118","View Full Record in Web of Science")</f>
        <v>View Full Record in Web of Science</v>
      </c>
    </row>
    <row r="999" spans="1:72" x14ac:dyDescent="0.15">
      <c r="A999" t="s">
        <v>72</v>
      </c>
      <c r="B999" t="s">
        <v>14775</v>
      </c>
      <c r="C999" t="s">
        <v>74</v>
      </c>
      <c r="D999" t="s">
        <v>74</v>
      </c>
      <c r="E999" t="s">
        <v>74</v>
      </c>
      <c r="F999" t="s">
        <v>14776</v>
      </c>
      <c r="G999" t="s">
        <v>74</v>
      </c>
      <c r="H999" t="s">
        <v>74</v>
      </c>
      <c r="I999" t="s">
        <v>14777</v>
      </c>
      <c r="J999" t="s">
        <v>14744</v>
      </c>
      <c r="K999" t="s">
        <v>74</v>
      </c>
      <c r="L999" t="s">
        <v>74</v>
      </c>
      <c r="M999" t="s">
        <v>77</v>
      </c>
      <c r="N999" t="s">
        <v>52</v>
      </c>
      <c r="O999" t="s">
        <v>74</v>
      </c>
      <c r="P999" t="s">
        <v>74</v>
      </c>
      <c r="Q999" t="s">
        <v>74</v>
      </c>
      <c r="R999" t="s">
        <v>74</v>
      </c>
      <c r="S999" t="s">
        <v>74</v>
      </c>
      <c r="T999" t="s">
        <v>74</v>
      </c>
      <c r="U999" t="s">
        <v>74</v>
      </c>
      <c r="V999" t="s">
        <v>74</v>
      </c>
      <c r="W999" t="s">
        <v>14778</v>
      </c>
      <c r="X999" t="s">
        <v>14779</v>
      </c>
      <c r="Y999" t="s">
        <v>74</v>
      </c>
      <c r="Z999" t="s">
        <v>14780</v>
      </c>
      <c r="AA999" t="s">
        <v>14781</v>
      </c>
      <c r="AB999" t="s">
        <v>74</v>
      </c>
      <c r="AC999" t="s">
        <v>74</v>
      </c>
      <c r="AD999" t="s">
        <v>74</v>
      </c>
      <c r="AE999" t="s">
        <v>74</v>
      </c>
      <c r="AF999" t="s">
        <v>74</v>
      </c>
      <c r="AG999">
        <v>0</v>
      </c>
      <c r="AH999">
        <v>0</v>
      </c>
      <c r="AI999">
        <v>0</v>
      </c>
      <c r="AJ999">
        <v>0</v>
      </c>
      <c r="AK999">
        <v>4</v>
      </c>
      <c r="AL999" t="s">
        <v>14748</v>
      </c>
      <c r="AM999" t="s">
        <v>2517</v>
      </c>
      <c r="AN999" t="s">
        <v>14749</v>
      </c>
      <c r="AO999" t="s">
        <v>14750</v>
      </c>
      <c r="AP999" t="s">
        <v>74</v>
      </c>
      <c r="AQ999" t="s">
        <v>74</v>
      </c>
      <c r="AR999" t="s">
        <v>14744</v>
      </c>
      <c r="AS999" t="s">
        <v>14751</v>
      </c>
      <c r="AT999" t="s">
        <v>13966</v>
      </c>
      <c r="AU999">
        <v>2005</v>
      </c>
      <c r="AV999">
        <v>44</v>
      </c>
      <c r="AW999">
        <v>4</v>
      </c>
      <c r="AX999" t="s">
        <v>74</v>
      </c>
      <c r="AY999" t="s">
        <v>74</v>
      </c>
      <c r="AZ999" t="s">
        <v>74</v>
      </c>
      <c r="BA999">
        <v>191</v>
      </c>
      <c r="BB999">
        <v>80</v>
      </c>
      <c r="BC999">
        <v>81</v>
      </c>
      <c r="BD999" t="s">
        <v>74</v>
      </c>
      <c r="BE999" t="s">
        <v>74</v>
      </c>
      <c r="BF999" t="s">
        <v>74</v>
      </c>
      <c r="BG999" t="s">
        <v>74</v>
      </c>
      <c r="BH999" t="s">
        <v>74</v>
      </c>
      <c r="BI999">
        <v>2</v>
      </c>
      <c r="BJ999" t="s">
        <v>6377</v>
      </c>
      <c r="BK999" t="s">
        <v>98</v>
      </c>
      <c r="BL999" t="s">
        <v>6377</v>
      </c>
      <c r="BM999" t="s">
        <v>14752</v>
      </c>
      <c r="BN999" t="s">
        <v>74</v>
      </c>
      <c r="BO999" t="s">
        <v>74</v>
      </c>
      <c r="BP999" t="s">
        <v>74</v>
      </c>
      <c r="BQ999" t="s">
        <v>74</v>
      </c>
      <c r="BR999" t="s">
        <v>101</v>
      </c>
      <c r="BS999" t="s">
        <v>14782</v>
      </c>
      <c r="BT999" t="str">
        <f>HYPERLINK("https%3A%2F%2Fwww.webofscience.com%2Fwos%2Fwoscc%2Ffull-record%2FWOS:000205501500192","View Full Record in Web of Science")</f>
        <v>View Full Record in Web of Science</v>
      </c>
    </row>
    <row r="1000" spans="1:72" x14ac:dyDescent="0.15">
      <c r="A1000" t="s">
        <v>72</v>
      </c>
      <c r="B1000" t="s">
        <v>14783</v>
      </c>
      <c r="C1000" t="s">
        <v>74</v>
      </c>
      <c r="D1000" t="s">
        <v>74</v>
      </c>
      <c r="E1000" t="s">
        <v>74</v>
      </c>
      <c r="F1000" t="s">
        <v>14784</v>
      </c>
      <c r="G1000" t="s">
        <v>74</v>
      </c>
      <c r="H1000" t="s">
        <v>74</v>
      </c>
      <c r="I1000" t="s">
        <v>14785</v>
      </c>
      <c r="J1000" t="s">
        <v>14744</v>
      </c>
      <c r="K1000" t="s">
        <v>74</v>
      </c>
      <c r="L1000" t="s">
        <v>74</v>
      </c>
      <c r="M1000" t="s">
        <v>77</v>
      </c>
      <c r="N1000" t="s">
        <v>52</v>
      </c>
      <c r="O1000" t="s">
        <v>74</v>
      </c>
      <c r="P1000" t="s">
        <v>74</v>
      </c>
      <c r="Q1000" t="s">
        <v>74</v>
      </c>
      <c r="R1000" t="s">
        <v>74</v>
      </c>
      <c r="S1000" t="s">
        <v>74</v>
      </c>
      <c r="T1000" t="s">
        <v>74</v>
      </c>
      <c r="U1000" t="s">
        <v>74</v>
      </c>
      <c r="V1000" t="s">
        <v>74</v>
      </c>
      <c r="W1000" t="s">
        <v>14786</v>
      </c>
      <c r="X1000" t="s">
        <v>14787</v>
      </c>
      <c r="Y1000" t="s">
        <v>74</v>
      </c>
      <c r="Z1000" t="s">
        <v>14788</v>
      </c>
      <c r="AA1000" t="s">
        <v>14768</v>
      </c>
      <c r="AB1000" t="s">
        <v>74</v>
      </c>
      <c r="AC1000" t="s">
        <v>74</v>
      </c>
      <c r="AD1000" t="s">
        <v>74</v>
      </c>
      <c r="AE1000" t="s">
        <v>74</v>
      </c>
      <c r="AF1000" t="s">
        <v>74</v>
      </c>
      <c r="AG1000">
        <v>0</v>
      </c>
      <c r="AH1000">
        <v>0</v>
      </c>
      <c r="AI1000">
        <v>0</v>
      </c>
      <c r="AJ1000">
        <v>0</v>
      </c>
      <c r="AK1000">
        <v>1</v>
      </c>
      <c r="AL1000" t="s">
        <v>14748</v>
      </c>
      <c r="AM1000" t="s">
        <v>2517</v>
      </c>
      <c r="AN1000" t="s">
        <v>14749</v>
      </c>
      <c r="AO1000" t="s">
        <v>14750</v>
      </c>
      <c r="AP1000" t="s">
        <v>74</v>
      </c>
      <c r="AQ1000" t="s">
        <v>74</v>
      </c>
      <c r="AR1000" t="s">
        <v>14744</v>
      </c>
      <c r="AS1000" t="s">
        <v>14751</v>
      </c>
      <c r="AT1000" t="s">
        <v>13966</v>
      </c>
      <c r="AU1000">
        <v>2005</v>
      </c>
      <c r="AV1000">
        <v>44</v>
      </c>
      <c r="AW1000">
        <v>4</v>
      </c>
      <c r="AX1000" t="s">
        <v>74</v>
      </c>
      <c r="AY1000" t="s">
        <v>74</v>
      </c>
      <c r="AZ1000" t="s">
        <v>74</v>
      </c>
      <c r="BA1000">
        <v>271</v>
      </c>
      <c r="BB1000">
        <v>112</v>
      </c>
      <c r="BC1000">
        <v>113</v>
      </c>
      <c r="BD1000" t="s">
        <v>74</v>
      </c>
      <c r="BE1000" t="s">
        <v>74</v>
      </c>
      <c r="BF1000" t="s">
        <v>74</v>
      </c>
      <c r="BG1000" t="s">
        <v>74</v>
      </c>
      <c r="BH1000" t="s">
        <v>74</v>
      </c>
      <c r="BI1000">
        <v>2</v>
      </c>
      <c r="BJ1000" t="s">
        <v>6377</v>
      </c>
      <c r="BK1000" t="s">
        <v>98</v>
      </c>
      <c r="BL1000" t="s">
        <v>6377</v>
      </c>
      <c r="BM1000" t="s">
        <v>14752</v>
      </c>
      <c r="BN1000" t="s">
        <v>74</v>
      </c>
      <c r="BO1000" t="s">
        <v>74</v>
      </c>
      <c r="BP1000" t="s">
        <v>74</v>
      </c>
      <c r="BQ1000" t="s">
        <v>74</v>
      </c>
      <c r="BR1000" t="s">
        <v>101</v>
      </c>
      <c r="BS1000" t="s">
        <v>14789</v>
      </c>
      <c r="BT1000" t="str">
        <f>HYPERLINK("https%3A%2F%2Fwww.webofscience.com%2Fwos%2Fwoscc%2Ffull-record%2FWOS:000205501500272","View Full Record in Web of Science")</f>
        <v>View Full Record in Web of Science</v>
      </c>
    </row>
    <row r="1001" spans="1:72" x14ac:dyDescent="0.15">
      <c r="A1001" t="s">
        <v>72</v>
      </c>
      <c r="B1001" t="s">
        <v>14790</v>
      </c>
      <c r="C1001" t="s">
        <v>74</v>
      </c>
      <c r="D1001" t="s">
        <v>74</v>
      </c>
      <c r="E1001" t="s">
        <v>74</v>
      </c>
      <c r="F1001" t="s">
        <v>14790</v>
      </c>
      <c r="G1001" t="s">
        <v>74</v>
      </c>
      <c r="H1001" t="s">
        <v>74</v>
      </c>
      <c r="I1001" t="s">
        <v>14791</v>
      </c>
      <c r="J1001" t="s">
        <v>14744</v>
      </c>
      <c r="K1001" t="s">
        <v>74</v>
      </c>
      <c r="L1001" t="s">
        <v>74</v>
      </c>
      <c r="M1001" t="s">
        <v>77</v>
      </c>
      <c r="N1001" t="s">
        <v>78</v>
      </c>
      <c r="O1001" t="s">
        <v>74</v>
      </c>
      <c r="P1001" t="s">
        <v>74</v>
      </c>
      <c r="Q1001" t="s">
        <v>74</v>
      </c>
      <c r="R1001" t="s">
        <v>74</v>
      </c>
      <c r="S1001" t="s">
        <v>74</v>
      </c>
      <c r="T1001" t="s">
        <v>74</v>
      </c>
      <c r="U1001" t="s">
        <v>14792</v>
      </c>
      <c r="V1001" t="s">
        <v>14793</v>
      </c>
      <c r="W1001" t="s">
        <v>14794</v>
      </c>
      <c r="X1001" t="s">
        <v>14795</v>
      </c>
      <c r="Y1001" t="s">
        <v>14796</v>
      </c>
      <c r="Z1001" t="s">
        <v>14797</v>
      </c>
      <c r="AA1001" t="s">
        <v>74</v>
      </c>
      <c r="AB1001" t="s">
        <v>74</v>
      </c>
      <c r="AC1001" t="s">
        <v>74</v>
      </c>
      <c r="AD1001" t="s">
        <v>74</v>
      </c>
      <c r="AE1001" t="s">
        <v>74</v>
      </c>
      <c r="AF1001" t="s">
        <v>74</v>
      </c>
      <c r="AG1001">
        <v>49</v>
      </c>
      <c r="AH1001">
        <v>10</v>
      </c>
      <c r="AI1001">
        <v>11</v>
      </c>
      <c r="AJ1001">
        <v>0</v>
      </c>
      <c r="AK1001">
        <v>12</v>
      </c>
      <c r="AL1001" t="s">
        <v>348</v>
      </c>
      <c r="AM1001" t="s">
        <v>349</v>
      </c>
      <c r="AN1001" t="s">
        <v>1523</v>
      </c>
      <c r="AO1001" t="s">
        <v>14750</v>
      </c>
      <c r="AP1001" t="s">
        <v>14798</v>
      </c>
      <c r="AQ1001" t="s">
        <v>74</v>
      </c>
      <c r="AR1001" t="s">
        <v>14744</v>
      </c>
      <c r="AS1001" t="s">
        <v>14751</v>
      </c>
      <c r="AT1001" t="s">
        <v>13966</v>
      </c>
      <c r="AU1001">
        <v>2005</v>
      </c>
      <c r="AV1001">
        <v>44</v>
      </c>
      <c r="AW1001">
        <v>4</v>
      </c>
      <c r="AX1001" t="s">
        <v>74</v>
      </c>
      <c r="AY1001" t="s">
        <v>74</v>
      </c>
      <c r="AZ1001" t="s">
        <v>74</v>
      </c>
      <c r="BA1001" t="s">
        <v>74</v>
      </c>
      <c r="BB1001">
        <v>403</v>
      </c>
      <c r="BC1001">
        <v>408</v>
      </c>
      <c r="BD1001" t="s">
        <v>74</v>
      </c>
      <c r="BE1001" t="s">
        <v>14799</v>
      </c>
      <c r="BF1001" t="str">
        <f>HYPERLINK("http://dx.doi.org/10.2216/0031-8884(2005)44[403:TOOMAA]2.0.CO;2","http://dx.doi.org/10.2216/0031-8884(2005)44[403:TOOMAA]2.0.CO;2")</f>
        <v>http://dx.doi.org/10.2216/0031-8884(2005)44[403:TOOMAA]2.0.CO;2</v>
      </c>
      <c r="BG1001" t="s">
        <v>74</v>
      </c>
      <c r="BH1001" t="s">
        <v>74</v>
      </c>
      <c r="BI1001">
        <v>6</v>
      </c>
      <c r="BJ1001" t="s">
        <v>6377</v>
      </c>
      <c r="BK1001" t="s">
        <v>98</v>
      </c>
      <c r="BL1001" t="s">
        <v>6377</v>
      </c>
      <c r="BM1001" t="s">
        <v>14800</v>
      </c>
      <c r="BN1001" t="s">
        <v>74</v>
      </c>
      <c r="BO1001" t="s">
        <v>74</v>
      </c>
      <c r="BP1001" t="s">
        <v>74</v>
      </c>
      <c r="BQ1001" t="s">
        <v>74</v>
      </c>
      <c r="BR1001" t="s">
        <v>101</v>
      </c>
      <c r="BS1001" t="s">
        <v>14801</v>
      </c>
      <c r="BT1001" t="str">
        <f>HYPERLINK("https%3A%2F%2Fwww.webofscience.com%2Fwos%2Fwoscc%2Ffull-record%2FWOS:000230714700006","View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2024-07-28T15:26:26Z</dcterms:created>
  <dcterms:modified xsi:type="dcterms:W3CDTF">2024-07-28T15:26:26Z</dcterms:modified>
</cp:coreProperties>
</file>